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" windowWidth="15960" windowHeight="11760"/>
  </bookViews>
  <sheets>
    <sheet name="ADRIAN MERCADO - INSUMOS" sheetId="1" r:id="rId1"/>
  </sheets>
  <calcPr calcId="144525"/>
</workbook>
</file>

<file path=xl/calcChain.xml><?xml version="1.0" encoding="utf-8"?>
<calcChain xmlns="http://schemas.openxmlformats.org/spreadsheetml/2006/main">
  <c r="F268" i="1" l="1"/>
  <c r="F267" i="1" l="1"/>
  <c r="D266" i="1"/>
  <c r="F266" i="1" s="1"/>
  <c r="F265" i="1"/>
  <c r="F264" i="1"/>
  <c r="D263" i="1"/>
  <c r="F263" i="1" s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D224" i="1"/>
  <c r="F224" i="1" s="1"/>
  <c r="F223" i="1"/>
  <c r="D222" i="1"/>
  <c r="F222" i="1" s="1"/>
  <c r="D221" i="1"/>
  <c r="F221" i="1" s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D166" i="1"/>
  <c r="F166" i="1" s="1"/>
  <c r="D165" i="1"/>
  <c r="F165" i="1" s="1"/>
  <c r="F164" i="1"/>
  <c r="F163" i="1"/>
  <c r="D162" i="1"/>
  <c r="F162" i="1" s="1"/>
  <c r="F161" i="1"/>
  <c r="D160" i="1"/>
  <c r="F160" i="1" s="1"/>
  <c r="D159" i="1"/>
  <c r="F159" i="1" s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D98" i="1"/>
  <c r="F98" i="1" s="1"/>
  <c r="F97" i="1"/>
  <c r="F96" i="1"/>
  <c r="F95" i="1"/>
  <c r="F94" i="1"/>
  <c r="F93" i="1"/>
  <c r="F92" i="1"/>
  <c r="F91" i="1"/>
  <c r="F90" i="1"/>
  <c r="F89" i="1"/>
  <c r="F88" i="1"/>
  <c r="D87" i="1"/>
  <c r="F87" i="1" s="1"/>
  <c r="F86" i="1"/>
  <c r="D85" i="1"/>
  <c r="F85" i="1" s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D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D49" i="1"/>
  <c r="F49" i="1" s="1"/>
  <c r="F48" i="1"/>
  <c r="F47" i="1"/>
  <c r="F46" i="1"/>
  <c r="F45" i="1"/>
  <c r="F44" i="1"/>
  <c r="F43" i="1"/>
  <c r="D42" i="1"/>
  <c r="F42" i="1" s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D23" i="1"/>
  <c r="F23" i="1" s="1"/>
  <c r="F22" i="1"/>
  <c r="F21" i="1"/>
  <c r="F20" i="1"/>
  <c r="F19" i="1"/>
  <c r="F18" i="1"/>
  <c r="D17" i="1"/>
  <c r="F17" i="1" s="1"/>
  <c r="F16" i="1"/>
  <c r="F15" i="1"/>
  <c r="D14" i="1"/>
  <c r="F14" i="1" s="1"/>
  <c r="D13" i="1"/>
  <c r="F13" i="1" s="1"/>
  <c r="D12" i="1"/>
  <c r="F12" i="1" s="1"/>
  <c r="D11" i="1"/>
  <c r="F11" i="1" s="1"/>
  <c r="D10" i="1"/>
  <c r="F10" i="1" s="1"/>
  <c r="F9" i="1"/>
  <c r="F8" i="1"/>
  <c r="F7" i="1"/>
  <c r="F6" i="1"/>
  <c r="F5" i="1"/>
  <c r="D4" i="1"/>
  <c r="F4" i="1" s="1"/>
  <c r="F3" i="1"/>
</calcChain>
</file>

<file path=xl/sharedStrings.xml><?xml version="1.0" encoding="utf-8"?>
<sst xmlns="http://schemas.openxmlformats.org/spreadsheetml/2006/main" count="727" uniqueCount="543">
  <si>
    <t>INSUMOS</t>
  </si>
  <si>
    <t>Descripción</t>
  </si>
  <si>
    <t>Código</t>
  </si>
  <si>
    <t>CAJAS</t>
  </si>
  <si>
    <t>UNIDxCAJA</t>
  </si>
  <si>
    <t>STOCK</t>
  </si>
  <si>
    <t>ME002</t>
  </si>
  <si>
    <t>FRASCO de vidrio circular cónico, cubicaje aprox 11ml, rosca 13</t>
  </si>
  <si>
    <t>GB181-11 - MARTA (Frascos p/esmaltes)</t>
  </si>
  <si>
    <t>ME004</t>
  </si>
  <si>
    <t>FRASCO de vidrio rectangular con un costado redondeado, cubicaje aprox 13ml, rosca 13</t>
  </si>
  <si>
    <t>H2637/13 - PROMENADE (Frascos p/esmaltes)</t>
  </si>
  <si>
    <t>ME006</t>
  </si>
  <si>
    <t>FRASCO de vidrio circular, cubicaje aprox 13ml, rosca 13</t>
  </si>
  <si>
    <t>GB415-13 - BARRIL (Frascos p/esmalte)</t>
  </si>
  <si>
    <t>ME007</t>
  </si>
  <si>
    <t>FRASCO de vidrio rectangular, cubicaje aprox 16ml, rosca 15</t>
  </si>
  <si>
    <t>GB403-16 - ESSIE (Frascos p/esmalte)</t>
  </si>
  <si>
    <t>ME008</t>
  </si>
  <si>
    <t>FRASCO de vidrio circular cónico, cubicaje aprox 12ml, rosca 13</t>
  </si>
  <si>
    <t>GB202-12 - CASSUAL (Frascos p/esmalte)</t>
  </si>
  <si>
    <t>ME009</t>
  </si>
  <si>
    <t>FRASCO de vidrio con forma de flor, cubicaje aprox 11ml, rosca 13</t>
  </si>
  <si>
    <t>GB6166-11 - FLOR (Frascos p/esmalte)</t>
  </si>
  <si>
    <t>ME010</t>
  </si>
  <si>
    <t>FRASCO de vidrio con forma de estrella, cubicaje aprox 11ml, rosca 11 (es una rosca más chica que la mayoría. Tenemos la tapa que hace juego, es la cpp11/030 natural de la cual hay 148.000 unidades)</t>
  </si>
  <si>
    <t>GB6103-10 - ESTRELLA (Frascos p/esmalte)</t>
  </si>
  <si>
    <t>ME011</t>
  </si>
  <si>
    <t>FRASCO de vidrio cuadrado, cubicaje aprox 11ml, rosca 13</t>
  </si>
  <si>
    <t>GB404-11 - FEDERICA (Frascos p/esmalte)</t>
  </si>
  <si>
    <t>ME019</t>
  </si>
  <si>
    <t>FRASCO de vidrio circular, cubicaje aprox 16ml, rosca 13</t>
  </si>
  <si>
    <t>GB106-16 - RÍO (Fco. esmalte)</t>
  </si>
  <si>
    <t>ME021</t>
  </si>
  <si>
    <t>FRASCO de vidrio circular chato, cubicaje aprox 10ml, rosca 13</t>
  </si>
  <si>
    <t>GB110-10</t>
  </si>
  <si>
    <t>ME023</t>
  </si>
  <si>
    <t>FRASCO de vidrio con forma de corazón, cubicaje aprox 11ml, rosca 13</t>
  </si>
  <si>
    <t>GB6102-11 CORAZON</t>
  </si>
  <si>
    <t>ME024</t>
  </si>
  <si>
    <t>FRASCO de vidrio circular cónico, cubicaje aprox 08ml, rosca 13</t>
  </si>
  <si>
    <t>B4808 IMELDA</t>
  </si>
  <si>
    <t>ME027</t>
  </si>
  <si>
    <t>FRASCO de vidrio circular chato, cubicaje aprox 06ml, rosca 13</t>
  </si>
  <si>
    <t>GB110-06</t>
  </si>
  <si>
    <t>ME028</t>
  </si>
  <si>
    <t>FRASCO de vidrio cuadrado chato, cubicaje aprox 09ml, rosca 13</t>
  </si>
  <si>
    <t>B13009-8232</t>
  </si>
  <si>
    <t>FRASCO de vidrio circular, cubicaje aprox 05ml, rosca 13</t>
  </si>
  <si>
    <t>FRASCO GB-DG101/2-05 MINI</t>
  </si>
  <si>
    <t>Botella plastica para quitaesmalte 45cc, con impresión. Hay tapa que hace juego, pero algunas no tapan bien y se pierde liquido con la tapa puesta</t>
  </si>
  <si>
    <t>FRASCO PLASTICO QE x45cc NEGRA TOPSY</t>
  </si>
  <si>
    <t>FRASCO PLASTICO QE x45cc BLANCA MULBERI</t>
  </si>
  <si>
    <t>FRASCO PLASTICO QE x45cc NEGRA MULBERI</t>
  </si>
  <si>
    <t>Botella plastica para quitaesmalte x 60cc, con impresión.</t>
  </si>
  <si>
    <t>FRASCO PLASTICO QE x60cc GRIS THELMA Y LOUISE</t>
  </si>
  <si>
    <t>FRASCO de vidrio circular cónico, cubicaje aprox 12ml, rosca 13. Con impresion</t>
  </si>
  <si>
    <t>FRASCO GB202-12 IMPRESO CASUAL BLANCO</t>
  </si>
  <si>
    <t>FRASCO GB202-12 IMPRESO SUSAN ROAD GRIS</t>
  </si>
  <si>
    <t>FRASCO de vidrio circular cónico, cubicaje aprox 15ml, rosca 13. Con impresion</t>
  </si>
  <si>
    <t>FRASCO GB2162-15 IMPRESO DANIEL SANDOZ</t>
  </si>
  <si>
    <t>FRASCO GB2162-15 IMPRESO LINDY</t>
  </si>
  <si>
    <t>FRASCO de vidrio circular cónico, cubicaje aprox 16ml, rosca 13. Con impresion</t>
  </si>
  <si>
    <t>FRASCO GB2166-16 IMPRESO VIVIEN</t>
  </si>
  <si>
    <t>FRASCO de vidrio, cubicaje aprox 14ml, rosca 13. Con impresion</t>
  </si>
  <si>
    <t>FRASCO F183-14 POPOF IMPRESO FABI</t>
  </si>
  <si>
    <t>FRASCO de vidrio circular, cubicaje aprox 05ml, rosca 13. Con impresión</t>
  </si>
  <si>
    <t>FRASCO GB-DG101/2-05 MINI IMPRESO PINK LOVE</t>
  </si>
  <si>
    <t>FRASCO de vidrio rectangular, cubicaje aprox 10ml, rosca 13. Con impresión.</t>
  </si>
  <si>
    <t>FRASCO GB477-10 SATINADO IMPRESIÓN TOP COAT</t>
  </si>
  <si>
    <t>FRASCO GB477-10 SATINADO IMPRESIÓN ALARGADOR 7 DIAS</t>
  </si>
  <si>
    <t>FRASCO de vidrio circular cónico, cubicaje aprox 08ml, rosca 13. Con impresion</t>
  </si>
  <si>
    <t>FRASCO B4808 IMELDA IMPRESO VALENTINA</t>
  </si>
  <si>
    <t>FRASCO GB477-10 IMPRESO VF ANTI ROTURAS 7 DIAS</t>
  </si>
  <si>
    <t>FRASCO GB477-10 IMPRESO NYLON Y RETINOL</t>
  </si>
  <si>
    <t>FRASCO de vidrio circular chato, cubicaje aprox 06ml, rosca 13. COn impresion</t>
  </si>
  <si>
    <t>FRASCO GB110-06 IMPRESO ALLEGRO</t>
  </si>
  <si>
    <t>Funda plástica para tapa de frasquito de vidrio. Necesita de un inserto para la rosca</t>
  </si>
  <si>
    <t>Funda CPP13-15/C9002 NEGRA CUADRADA</t>
  </si>
  <si>
    <t>Funda CPP13-15/C9002 AZUL TRASLUCIDA</t>
  </si>
  <si>
    <t>Funda CPP13/C9001 NEGRA CUADRADA BISEL</t>
  </si>
  <si>
    <t>FUNDA CPP13-15/C9029 REDONDA NEGRA IMP. "AW" ORO</t>
  </si>
  <si>
    <t>ME076</t>
  </si>
  <si>
    <t>Funda CPP13-15/C9030 AZUL REDONDA PLACA PLATA (Funda esmalte CC)</t>
  </si>
  <si>
    <t>ME077</t>
  </si>
  <si>
    <t>Funda CPP15/C037 NEGRA MATE</t>
  </si>
  <si>
    <t>ME073</t>
  </si>
  <si>
    <t>Funda CPP13-15/C9003 NACAR OVALADA</t>
  </si>
  <si>
    <t>ME074</t>
  </si>
  <si>
    <t>Funda CPP13-15/C9030 REDONDA NEGRA PLACA PLATA</t>
  </si>
  <si>
    <t>ME079</t>
  </si>
  <si>
    <t>TAPA plástica para frasquito de vidrio con rosca 13. No necesita inserto</t>
  </si>
  <si>
    <t>Tapa CPP13/R8239 BLANCA (tapa p/esmaltes)</t>
  </si>
  <si>
    <t>ME081</t>
  </si>
  <si>
    <t>Tapa CPP13/R002 BLANCA (tapa p/esmaltes)</t>
  </si>
  <si>
    <t>ME082</t>
  </si>
  <si>
    <t>Tapa CPP13/R002 TRANSPARENTE (tapa p/esmaltes)</t>
  </si>
  <si>
    <t>ME083</t>
  </si>
  <si>
    <t>Tapa CPP13/R002 BLANCA NACAR (tapa p/esmaltes)</t>
  </si>
  <si>
    <t>ME085</t>
  </si>
  <si>
    <t>TAPA plástica para frasquito de vidrio con rosca 15. No necesita inserto</t>
  </si>
  <si>
    <t>TAPA CPP15/R088 NEGRA (Tapas p/esmalte)</t>
  </si>
  <si>
    <t>ME086</t>
  </si>
  <si>
    <t>TAPA plástica para frasquito de vidrio con rosca 11. No necesita inserto. Va con frasco estrella.</t>
  </si>
  <si>
    <t>TAPA CPP11/R030 NATURAL</t>
  </si>
  <si>
    <t>ME087</t>
  </si>
  <si>
    <t>TAPA CPP13/R095 NEGRA (Tapas p/esmalte)</t>
  </si>
  <si>
    <t>ME088</t>
  </si>
  <si>
    <t>TAPA CPP13/R095 TRANSPARENTE (Tapas p/esmalte)</t>
  </si>
  <si>
    <t>TAPA CPP13/R095 BLANCA (Tapas p/esmalte)</t>
  </si>
  <si>
    <t>ME089</t>
  </si>
  <si>
    <t>TAPA CPP15/18-34/HN DORADO</t>
  </si>
  <si>
    <t>ME090</t>
  </si>
  <si>
    <t>TAPA 13177 BLANCA</t>
  </si>
  <si>
    <t>ME091</t>
  </si>
  <si>
    <t>TAPA CPP13/21-29 NACAR</t>
  </si>
  <si>
    <t>TAPA CPP13/21-29 TRANSPAREMTE</t>
  </si>
  <si>
    <t>TAPA CPP13/R020 A BLANCA (112)</t>
  </si>
  <si>
    <t>ME099</t>
  </si>
  <si>
    <t>TAPA plástica para frasquito de vidrio con rosca 13?. No necesita inserto</t>
  </si>
  <si>
    <t>TAPA 129-R002/9,6 3 PUNTAS NEGRA</t>
  </si>
  <si>
    <t>ME101</t>
  </si>
  <si>
    <t>TAPA CPP13/R028 HONGUITO GRIS</t>
  </si>
  <si>
    <t>ME102</t>
  </si>
  <si>
    <t>TAPA CPP13/R028 HONGUITO ORO</t>
  </si>
  <si>
    <t>TAPA CPP13/R028 HONGUITO NEGRA</t>
  </si>
  <si>
    <t>ME103</t>
  </si>
  <si>
    <t>TAPA CPP13/R028 HONGUITO NACAR</t>
  </si>
  <si>
    <t>ME104</t>
  </si>
  <si>
    <t>TAPA plástica para frasquito de vidrio, con pincel. No necesita inserto</t>
  </si>
  <si>
    <t>TAPA 202-002 C/PINCEL NEGRA</t>
  </si>
  <si>
    <t>ME107</t>
  </si>
  <si>
    <t>TAPA plástica para envase de quitaesmalte x 45cc</t>
  </si>
  <si>
    <t>TAPA QUITAESMALTE x45 BLANCA</t>
  </si>
  <si>
    <t>ME163</t>
  </si>
  <si>
    <t>TAPA con cepillo para máscara de pestañas</t>
  </si>
  <si>
    <t>TY02/M02/MA (TAPA PLATA MATE / MASCARAS)</t>
  </si>
  <si>
    <t>ME164</t>
  </si>
  <si>
    <t>TY02/M02/MA (TAPA PLATA brillante / MASCARAS)</t>
  </si>
  <si>
    <t>ME165</t>
  </si>
  <si>
    <t>TY02/M02/MA (TAPA ORO BRILLANTE/ MASCARAS)</t>
  </si>
  <si>
    <t>ME168</t>
  </si>
  <si>
    <t>TY02/M02/MA (TAPA PLATA BRILLANTE/ MASCARAS) STRAIGHT BRUSH</t>
  </si>
  <si>
    <t>ME169</t>
  </si>
  <si>
    <t>TY02/M02/MA (TAPA ORO BRILLANTE/ MASCARAS) CURVED</t>
  </si>
  <si>
    <t>ME170</t>
  </si>
  <si>
    <t>TY02/P05/MA (TAPA NEGRA/ MASCARAS)</t>
  </si>
  <si>
    <t>ME173</t>
  </si>
  <si>
    <t xml:space="preserve">BOTELLA que va con tapas ty02 </t>
  </si>
  <si>
    <t>TY02/M02/MA (BOTELLA NEGRA/ MASCARAS)</t>
  </si>
  <si>
    <t>BOTELLA</t>
  </si>
  <si>
    <t>TY02/M02/LG (BOTELLA TRANSPARENTE/ BRILLO LABIAL)</t>
  </si>
  <si>
    <t>TY96/…/MA TAPA METAL FUCSIA</t>
  </si>
  <si>
    <t>ME176</t>
  </si>
  <si>
    <t>TY96/M02/MA (TAPA PLATA MATE-MÁSCARA)</t>
  </si>
  <si>
    <t>ME177</t>
  </si>
  <si>
    <t>TY96/M02/MA (TAPA PLATA BRILLANTE - MÁSCARA)</t>
  </si>
  <si>
    <t>ME178</t>
  </si>
  <si>
    <t>TY96/M02/MA (BOTELLA NEGRA/ MÁSCARA)</t>
  </si>
  <si>
    <t>ME179</t>
  </si>
  <si>
    <t>BOTELLA que va con tapas ty96</t>
  </si>
  <si>
    <t>TY96/M02/LG (BOTELLA TRANSPARENTE / BRILLO LABIAL)</t>
  </si>
  <si>
    <t>ME180</t>
  </si>
  <si>
    <t>TY96/M02/MA BOTELLA NEGRA (FALLADA)</t>
  </si>
  <si>
    <t>ME183</t>
  </si>
  <si>
    <t>TY14/M03/MA - M11314 (TAPA NARANJA /MÁSCARA)</t>
  </si>
  <si>
    <t>ME184</t>
  </si>
  <si>
    <t>TY14/M03/MA - M11316 (TAPA NARANJA /MÁSCARA)</t>
  </si>
  <si>
    <t>ME185</t>
  </si>
  <si>
    <t>BOTELLA que va con tapas ty14</t>
  </si>
  <si>
    <t>TY14/M03/MA (BOTELLA MARRÓN /MÁSCARA)</t>
  </si>
  <si>
    <t>TY07/M04/MA (TAPA ORO BRILLANTE CURVED /MÁSCARA)</t>
  </si>
  <si>
    <t>ME190</t>
  </si>
  <si>
    <t>TY52/M02/MA TAPA PLATA MATE</t>
  </si>
  <si>
    <t>ME191</t>
  </si>
  <si>
    <t>TY52/M02/LG TAPA PLATA MATE</t>
  </si>
  <si>
    <t>TAPA</t>
  </si>
  <si>
    <t>TY52/M02/LG TAPA PLATA BRILLANTE</t>
  </si>
  <si>
    <t>ME194</t>
  </si>
  <si>
    <t>BOTELLA que va con tapas LZ8148</t>
  </si>
  <si>
    <t>LZ8148/PC/MA BOTELLA NEGRA</t>
  </si>
  <si>
    <t>ME196</t>
  </si>
  <si>
    <t>LZ8148/PC/MA TAPA NEGRA</t>
  </si>
  <si>
    <t>ME199</t>
  </si>
  <si>
    <t>MD8148/PC/MA BOTELLA NEGRA</t>
  </si>
  <si>
    <t>ME202</t>
  </si>
  <si>
    <t>TAPA con cepillo para máscara de pestañas + obturador</t>
  </si>
  <si>
    <t>MD8148/PC/MA TAPA PLATA MATE (CON OBTURADOR NEGRO)</t>
  </si>
  <si>
    <t>ME203</t>
  </si>
  <si>
    <t>MD8148/PC/MA TAPA PLATA MATE (CON OBTURADOR TRANSPARENTE)</t>
  </si>
  <si>
    <t>MD8148/PC/MA TAPA PLATA MATE (SIN OBTURADOR)</t>
  </si>
  <si>
    <t>MD8148/PC/MA TAPA NEGRA</t>
  </si>
  <si>
    <t>ME204</t>
  </si>
  <si>
    <t>BOTELLA plastica</t>
  </si>
  <si>
    <t>TY137 BOTELLA TRANSPARENTE</t>
  </si>
  <si>
    <t>ME206</t>
  </si>
  <si>
    <t>TY137 BOTELLA NEGRA</t>
  </si>
  <si>
    <t>ME207</t>
  </si>
  <si>
    <t>TY99/M36/LG TRANSPARENTE</t>
  </si>
  <si>
    <t>ME209</t>
  </si>
  <si>
    <t>CONECTOR</t>
  </si>
  <si>
    <t>CONECTOR P100/MA-LG</t>
  </si>
  <si>
    <t>ME210</t>
  </si>
  <si>
    <t>TY99/P36/LG-LG CONECTOR BLANCO VF</t>
  </si>
  <si>
    <t>ME211</t>
  </si>
  <si>
    <t>CAPUCHON</t>
  </si>
  <si>
    <t>PLC-128LX-T (Capuchón labiales REDONDO)</t>
  </si>
  <si>
    <t>ME213</t>
  </si>
  <si>
    <t>BASE LABIAL</t>
  </si>
  <si>
    <t xml:space="preserve">PLC-428LX-T BASE CUDRADA NEGRA CAÑA NEGRA </t>
  </si>
  <si>
    <t>ME214</t>
  </si>
  <si>
    <t xml:space="preserve">PLC-428LX-T BASE CUDRADA TRANSPARENTE CAÑA TRANSPARENTE </t>
  </si>
  <si>
    <t>ME216</t>
  </si>
  <si>
    <t>PLC-128LX-T BASE REDONDA TRANSPARENTE CAÑA PLATA</t>
  </si>
  <si>
    <t>LABIAL</t>
  </si>
  <si>
    <t>CAPUCHON LABIAL DUBEN CUADRADO</t>
  </si>
  <si>
    <t>BASE LABIAL DUBEN CUADRADO</t>
  </si>
  <si>
    <t xml:space="preserve">BASE LABIAL DUBEN REDONDO </t>
  </si>
  <si>
    <t>ME220</t>
  </si>
  <si>
    <t>PLC-F02-P5 12,1mm BASE LABIAL IMPRESIÓN BLANCA SK</t>
  </si>
  <si>
    <t>ME221</t>
  </si>
  <si>
    <t>BASE NL</t>
  </si>
  <si>
    <t>PLC-F02-P5 11,8mm BASE LABIAL</t>
  </si>
  <si>
    <t>ME222</t>
  </si>
  <si>
    <t>CAPUCHON NL</t>
  </si>
  <si>
    <t>PLC-F02-P5 11,8mm CAPUCHON NEGRO para labial</t>
  </si>
  <si>
    <t>ME223</t>
  </si>
  <si>
    <t>CAPUCHON LABIAL ESTANDAR SICIALI S.A.</t>
  </si>
  <si>
    <t>ME224</t>
  </si>
  <si>
    <t>PULSADOR NL</t>
  </si>
  <si>
    <t>LPP-XS-17C 1-18/410-27 PULSADOR BLANCO (mini dispensador crema)</t>
  </si>
  <si>
    <t>ME225</t>
  </si>
  <si>
    <t>PULSADOR</t>
  </si>
  <si>
    <t>SP20 MM-LP-J20 PLATA BRILLANTE PULSADOR TRANSPARENTE</t>
  </si>
  <si>
    <t>ME226</t>
  </si>
  <si>
    <t>SP20 MM-LP-J20 ORO BRILLANTE PULSADOR NEGRO</t>
  </si>
  <si>
    <t>ME227</t>
  </si>
  <si>
    <t>SP20 MM-YZ-PA PLATA MATE PULSADOR TRANSPARENTE 150 MM</t>
  </si>
  <si>
    <t>SP20 MM-YZ-PA PLATA MATE PULSADOR TRANSPARENTE 69 MM</t>
  </si>
  <si>
    <t>SP20 MM-YZ-PA PLATA MATE PULSADOR PLATA MATE 150 MM</t>
  </si>
  <si>
    <t>ME228</t>
  </si>
  <si>
    <t>SP20 MM-YZ-PA ORO PULSADOR TRANSPARENTE</t>
  </si>
  <si>
    <t>ME230</t>
  </si>
  <si>
    <t>TAPA LPC-MD8896 BOTON PLUG</t>
  </si>
  <si>
    <t>ME231</t>
  </si>
  <si>
    <t xml:space="preserve">POTE </t>
  </si>
  <si>
    <t>POTE BOTLLE LPC-MD8896 BOTTLE + CAP</t>
  </si>
  <si>
    <t>ME232</t>
  </si>
  <si>
    <t>APLICADO</t>
  </si>
  <si>
    <t xml:space="preserve">APLICADOR LPC MD8896/B FOAM </t>
  </si>
  <si>
    <t>ME233</t>
  </si>
  <si>
    <t>POTE</t>
  </si>
  <si>
    <t>LPC-SJ-808-M - CLEAR BASE (POTE)</t>
  </si>
  <si>
    <t>ME234</t>
  </si>
  <si>
    <t>LPC-SJ-808-M CAP+COLLAR+SPONGE</t>
  </si>
  <si>
    <t>ME235</t>
  </si>
  <si>
    <t>BOTELLA NL</t>
  </si>
  <si>
    <t>BOTELLA GBP-SX8001-109/0 BABY DREAMS</t>
  </si>
  <si>
    <t>ME236</t>
  </si>
  <si>
    <t xml:space="preserve">ROLL ON </t>
  </si>
  <si>
    <t>ROLL ON PLASTICO ROP-804MD-7ml/CPP</t>
  </si>
  <si>
    <t>ME237</t>
  </si>
  <si>
    <t>TAPA ROLL ON TRANSPARENTE</t>
  </si>
  <si>
    <t>ME238</t>
  </si>
  <si>
    <t>TAPA ROLL ON BLANCA</t>
  </si>
  <si>
    <t>ME239</t>
  </si>
  <si>
    <t>TAPA C0012 ROLL ON VIDRIO GRIS</t>
  </si>
  <si>
    <t>ME240</t>
  </si>
  <si>
    <t>TAPA C0012 ROLL ON VIDRIO BLANCA</t>
  </si>
  <si>
    <t>ME241</t>
  </si>
  <si>
    <t>BOLILLA</t>
  </si>
  <si>
    <t>BOLILLA + PORTA BOLILLA ROLL ON</t>
  </si>
  <si>
    <t>ME244</t>
  </si>
  <si>
    <t>TWIST PEN</t>
  </si>
  <si>
    <t>TP-JC 125/T1 TWIST PEN "BODY+MECHANISM"</t>
  </si>
  <si>
    <t>ME245</t>
  </si>
  <si>
    <t>TP-JC 125/T1 TWIST PEN "BRUSH"</t>
  </si>
  <si>
    <t>ME250</t>
  </si>
  <si>
    <t>BASE</t>
  </si>
  <si>
    <t>BASE OVAL CAÑA LARGA BLANCO OPALESCENTE</t>
  </si>
  <si>
    <t>ME251</t>
  </si>
  <si>
    <t>BASE FICTICIO CILINDRICO TRANSPARENTE</t>
  </si>
  <si>
    <t>ME252</t>
  </si>
  <si>
    <t>BASE OVAL CAÑA CORTA NEGRA</t>
  </si>
  <si>
    <t>BASE OVAL CAÑA CORTA NEGRA CON ELEVADOR</t>
  </si>
  <si>
    <t>BASE OVAL CAÑA CORTA NEGRA CON ELEVADOR Y SIN FIN</t>
  </si>
  <si>
    <t>ME253</t>
  </si>
  <si>
    <t>BASE OVALADA TRANSP. C/ELEVADOR + S/FIN TRANSP.</t>
  </si>
  <si>
    <t>ME254</t>
  </si>
  <si>
    <t>BASE REDONDA CAÑA LARGA NEGRA</t>
  </si>
  <si>
    <t>ME255</t>
  </si>
  <si>
    <t>BASE HEXAGONAL CAÑA CORTA NEGRA</t>
  </si>
  <si>
    <t>ME258</t>
  </si>
  <si>
    <t>BASE OVAL NEGRA EVERGREEN</t>
  </si>
  <si>
    <t>ME259</t>
  </si>
  <si>
    <t>CAPUCHON HEXAGONAL TRANSPARENTE</t>
  </si>
  <si>
    <t>ME260</t>
  </si>
  <si>
    <t>CAPUCHON REFERENCIA 14 3 BANDAS ORO</t>
  </si>
  <si>
    <t>ME261</t>
  </si>
  <si>
    <t>CAPUCHON REDONDO TRANSPARENTE</t>
  </si>
  <si>
    <t>ME262</t>
  </si>
  <si>
    <t>CAPUCHON CUADRADO TRANSPARENTE</t>
  </si>
  <si>
    <t>ME263</t>
  </si>
  <si>
    <t>CAPUCHON OVAL TRANSPARENTE</t>
  </si>
  <si>
    <t>ME264</t>
  </si>
  <si>
    <t>CAPUCHON HEXAGONAL IRREGULAR NEGRA</t>
  </si>
  <si>
    <t>ME265</t>
  </si>
  <si>
    <t>CAPUCHON CUADRADO TRANSPARENTE CON BISEL</t>
  </si>
  <si>
    <t>ME266</t>
  </si>
  <si>
    <t>CAPUCHON OVAL BLANCO OPALESCENTE</t>
  </si>
  <si>
    <t>ME267</t>
  </si>
  <si>
    <t>CAPUCHON OVAL NEGRO IMPRESO EVERGREEN</t>
  </si>
  <si>
    <t>ME268</t>
  </si>
  <si>
    <t>FICTICIO</t>
  </si>
  <si>
    <t>MECANISMO FICTICIO NATURAL + SINFÍN NEGRO</t>
  </si>
  <si>
    <t>ME270</t>
  </si>
  <si>
    <t>ELEVADOR</t>
  </si>
  <si>
    <t>ELEVADOR LAPIZ DE LABIOS ø 11,75</t>
  </si>
  <si>
    <t>ME271</t>
  </si>
  <si>
    <t>ELEVADOR LAPIZ DE LABIOS ø 12,75</t>
  </si>
  <si>
    <t>ME269</t>
  </si>
  <si>
    <t>SINFÍN</t>
  </si>
  <si>
    <t>SIN FIN ESTÁNDAR BLANCO OPALESCENTE</t>
  </si>
  <si>
    <t>ME272</t>
  </si>
  <si>
    <t>SIN FÍN CORTO NEGRO</t>
  </si>
  <si>
    <t>ME273</t>
  </si>
  <si>
    <t xml:space="preserve">SIN FÍN STANDARD BLANCO </t>
  </si>
  <si>
    <t>ME275</t>
  </si>
  <si>
    <t>SIN FÍN CON HOLOGRAMA</t>
  </si>
  <si>
    <t>ME277</t>
  </si>
  <si>
    <t>COMPACTO</t>
  </si>
  <si>
    <t>TAPA CILINDRICA COMPACTA 1410</t>
  </si>
  <si>
    <t>ME278</t>
  </si>
  <si>
    <t>BASE CILINDRICA COMPACTA 1410</t>
  </si>
  <si>
    <t>BASE CILINDRICA COMPACTA 1410 DSO NEGRA</t>
  </si>
  <si>
    <t>ME279</t>
  </si>
  <si>
    <t>BASE COMPACTA ROSCADA 1405 NACAR</t>
  </si>
  <si>
    <t>BASE COMPACTA ROSCADA 1405 NEGRA</t>
  </si>
  <si>
    <t>ME280</t>
  </si>
  <si>
    <t>TAPA CILINDRICA COMPACTA 1415</t>
  </si>
  <si>
    <t>ME281</t>
  </si>
  <si>
    <t>BASE CILINDRICA COMPACTA 1415</t>
  </si>
  <si>
    <t>ME282</t>
  </si>
  <si>
    <t>TAPA CILINDRICO COMPACTA 1416</t>
  </si>
  <si>
    <t>ME283</t>
  </si>
  <si>
    <t>BASE CILINDRICA COMPATO 1416</t>
  </si>
  <si>
    <t>ME284</t>
  </si>
  <si>
    <t>POT-1407-KV-LC TAPA CON LENTE NEGRA</t>
  </si>
  <si>
    <t>ME285</t>
  </si>
  <si>
    <t>POT-1407-KV-LC BASE NEGRA</t>
  </si>
  <si>
    <t>ME286</t>
  </si>
  <si>
    <t>BASE CILINDRICO COMPACTO 1404</t>
  </si>
  <si>
    <t>ME287</t>
  </si>
  <si>
    <t>TAPA CILINDRICA COMPACTA 1401 (para base 1404)</t>
  </si>
  <si>
    <t>ME288</t>
  </si>
  <si>
    <t>POT-1405/36-KV-LC TAPA BLANCO PERLADO C/LENTE</t>
  </si>
  <si>
    <t>ME289</t>
  </si>
  <si>
    <t xml:space="preserve">POT-1405/36-KV-LC BASE BLANCO PERLADO </t>
  </si>
  <si>
    <t>ME290</t>
  </si>
  <si>
    <t>VENTANA PARA TAPA COMPACTO ROSCADA TRANSPARENTE</t>
  </si>
  <si>
    <t>TAPA COMPACTO ROSCADA NACAR S/LENTE</t>
  </si>
  <si>
    <t>ME291</t>
  </si>
  <si>
    <t>TAPA COMPACTO ROSCADA NACAR C/LENTE ARMADA</t>
  </si>
  <si>
    <t>TAPA COMPACTO ROSCADA NEGRO S/LENTE</t>
  </si>
  <si>
    <t>ME292</t>
  </si>
  <si>
    <t>COMPACTO IMPR.</t>
  </si>
  <si>
    <t>TAPA COMPACTO 1404 IMPRESO TOPSY</t>
  </si>
  <si>
    <t>ME293</t>
  </si>
  <si>
    <t>TAPA COMPACTO 1415 IMPRESO ROUTIE</t>
  </si>
  <si>
    <t>ME294</t>
  </si>
  <si>
    <t>TAPA COMPACTO 1415 IMPRESO POLINESIA</t>
  </si>
  <si>
    <t>ME295</t>
  </si>
  <si>
    <t>TAPA COMPACTO 1404 IMPRESO GUITARE</t>
  </si>
  <si>
    <t>ME296</t>
  </si>
  <si>
    <t>TAPA COMPACTO 1416 IMPRESO POLINESIA</t>
  </si>
  <si>
    <t>ME298</t>
  </si>
  <si>
    <t>FUNDA</t>
  </si>
  <si>
    <t>FUNDA REDONDA NEGRA ABS</t>
  </si>
  <si>
    <t>ME299</t>
  </si>
  <si>
    <t>BOTELLA OVAL NEGRA</t>
  </si>
  <si>
    <t>ME300</t>
  </si>
  <si>
    <t>BOTELLA REDONDA CORTA NEGRA</t>
  </si>
  <si>
    <t>ME301</t>
  </si>
  <si>
    <t>BOTELLA REDONDA CORTA TRANSPARENTE</t>
  </si>
  <si>
    <t>ME302</t>
  </si>
  <si>
    <t>BOTELLA OVAL TRANSPARENTE</t>
  </si>
  <si>
    <t>ME303</t>
  </si>
  <si>
    <t>BOTELLA REDONDA JUMBO PVC NEGRA</t>
  </si>
  <si>
    <t>ME304</t>
  </si>
  <si>
    <t xml:space="preserve">BOTELLA PGT B03-1JZ/14ml </t>
  </si>
  <si>
    <t>ME305</t>
  </si>
  <si>
    <t>VASTAGO</t>
  </si>
  <si>
    <t>VASTAGO EYELINER PRESICION LARGO NEGRO</t>
  </si>
  <si>
    <t>ME306</t>
  </si>
  <si>
    <t>VASTAGO BRILLO LABIAL NEGRO C/APLICADOR</t>
  </si>
  <si>
    <t>ME307</t>
  </si>
  <si>
    <t>VASTAGO MASCARA NEGRO C/PINCEL 01 DE 3</t>
  </si>
  <si>
    <t>ME308</t>
  </si>
  <si>
    <t>VASTAGO MASCARA BLANCA C/PINCEL</t>
  </si>
  <si>
    <t>ME309</t>
  </si>
  <si>
    <t>VASTAGO EYELINER NEGRO C/PINCEL DE PELO</t>
  </si>
  <si>
    <t>ME310</t>
  </si>
  <si>
    <t>TAPA DELINEADORA C/FIBRA</t>
  </si>
  <si>
    <t>TAPA NEGRA 8148 PARA MASCARA HIPER BLACK</t>
  </si>
  <si>
    <t>ME311</t>
  </si>
  <si>
    <t>TAPA OVAL NEGRA MASCARA</t>
  </si>
  <si>
    <t>ME312</t>
  </si>
  <si>
    <t>TAPON</t>
  </si>
  <si>
    <t>TAPON CILINDRICO EYELINER NEGRO PUNTA F</t>
  </si>
  <si>
    <t>ME313</t>
  </si>
  <si>
    <t>TAPON EYELINER NEGRO C/PELO</t>
  </si>
  <si>
    <t>ME315</t>
  </si>
  <si>
    <t>PBSP-Z6103/5ML TAPA</t>
  </si>
  <si>
    <t>ME316</t>
  </si>
  <si>
    <t>PBSP-Z6103/5ML CONECTOR</t>
  </si>
  <si>
    <t>ME317</t>
  </si>
  <si>
    <t>OBTURADOR</t>
  </si>
  <si>
    <t>OBTURADOR N° 1</t>
  </si>
  <si>
    <t>ME318</t>
  </si>
  <si>
    <t>OBTURADOR N° 2</t>
  </si>
  <si>
    <t>ME319</t>
  </si>
  <si>
    <t>OBTURADOR N° 3</t>
  </si>
  <si>
    <t>ME320</t>
  </si>
  <si>
    <t>OBTURADOR N° 4</t>
  </si>
  <si>
    <t>ME321</t>
  </si>
  <si>
    <t>OBTURADOR N° 5</t>
  </si>
  <si>
    <t>ME322</t>
  </si>
  <si>
    <t>OBTURADOR N° 6</t>
  </si>
  <si>
    <t>ME323</t>
  </si>
  <si>
    <t>OBTURADOR N° 7</t>
  </si>
  <si>
    <t>ME324</t>
  </si>
  <si>
    <t>OBTURADOR BLANCO N° 8</t>
  </si>
  <si>
    <t>OBTURADOR TRANSPARENTE N° 9</t>
  </si>
  <si>
    <t>ONTURADOR N° 10</t>
  </si>
  <si>
    <t>TAPON PLASTICO TRANSPARENTE</t>
  </si>
  <si>
    <t>ME333</t>
  </si>
  <si>
    <t>CAJA</t>
  </si>
  <si>
    <t>CAJAS GRISES PARA PETACAS GRANDES</t>
  </si>
  <si>
    <t>ME334</t>
  </si>
  <si>
    <t>CAJAS GRISES PARA PETACAS MEDIANAS</t>
  </si>
  <si>
    <t>ME335</t>
  </si>
  <si>
    <t>CAJAS GRISES PARA PETACAS CHICAS</t>
  </si>
  <si>
    <t>ME337</t>
  </si>
  <si>
    <t>DIVISIONES</t>
  </si>
  <si>
    <t>DIVISIONES PARA CAJAS DE FRASCO ESTRELLA</t>
  </si>
  <si>
    <t>ME338</t>
  </si>
  <si>
    <t>CAJAS GRISES C/DIVISIONES (ESTRELLA)</t>
  </si>
  <si>
    <t>ME314</t>
  </si>
  <si>
    <t>TAPONES LACA F51-392 GRIS</t>
  </si>
  <si>
    <t>ME344</t>
  </si>
  <si>
    <t>MUESTRARIO</t>
  </si>
  <si>
    <t>BASE MUESTRARIO LABIAL x18</t>
  </si>
  <si>
    <t>ME345</t>
  </si>
  <si>
    <t>BASE MUESTRARIO LABIAL x50</t>
  </si>
  <si>
    <t>ME346</t>
  </si>
  <si>
    <t>MUESTRARIO LABIAL</t>
  </si>
  <si>
    <t>ME347</t>
  </si>
  <si>
    <t>PLASTIC TUBE</t>
  </si>
  <si>
    <t xml:space="preserve"> </t>
  </si>
  <si>
    <t>botella plastica x 250 ml</t>
  </si>
  <si>
    <t>spray botella plastica</t>
  </si>
  <si>
    <t>frasco</t>
  </si>
  <si>
    <t>gb 5175-08</t>
  </si>
  <si>
    <t>gb 2110-07</t>
  </si>
  <si>
    <t>gb 2162-15</t>
  </si>
  <si>
    <t>tapa</t>
  </si>
  <si>
    <t>c13189 blanca</t>
  </si>
  <si>
    <t>pincel</t>
  </si>
  <si>
    <t>pincel BR 13C/96F/32Y-L</t>
  </si>
  <si>
    <t>CPP13/R021 AQUA</t>
  </si>
  <si>
    <t>CPP13/R9021 AQUA</t>
  </si>
  <si>
    <t>CPP13/R9021 NEGRA</t>
  </si>
  <si>
    <t>CPP13/R8239 BORDÓ CON PUNTOS AMARILLOS</t>
  </si>
  <si>
    <t>TAPA CPP13/R028 HONGUITO AZUL</t>
  </si>
  <si>
    <t>ME128</t>
  </si>
  <si>
    <t>PINCEL para esmalte de uñas</t>
  </si>
  <si>
    <t>PINCEL BR11-76-40</t>
  </si>
  <si>
    <t>ME129</t>
  </si>
  <si>
    <t>PINCEL BR15-110-45</t>
  </si>
  <si>
    <t>ME130</t>
  </si>
  <si>
    <t>PINCEL BR13-96-28</t>
  </si>
  <si>
    <t>ME131</t>
  </si>
  <si>
    <t>PINCEL BR13-86-46</t>
  </si>
  <si>
    <t>ME132</t>
  </si>
  <si>
    <t>PINCEL CLASICO P140</t>
  </si>
  <si>
    <t>ME133</t>
  </si>
  <si>
    <t>PINCEL CLASICO P142</t>
  </si>
  <si>
    <t>ME134</t>
  </si>
  <si>
    <t>PINCEL CLASICO P144</t>
  </si>
  <si>
    <t>ME135</t>
  </si>
  <si>
    <t>PINCEL CLASICO P146</t>
  </si>
  <si>
    <t>ME136</t>
  </si>
  <si>
    <t>PINCEL A338</t>
  </si>
  <si>
    <t>ME137</t>
  </si>
  <si>
    <t>PINCEL A348</t>
  </si>
  <si>
    <t>ME139</t>
  </si>
  <si>
    <t>PINCEL A246</t>
  </si>
  <si>
    <t>ME140</t>
  </si>
  <si>
    <t>PINCEL 13/96/45-01 C/INSERTO</t>
  </si>
  <si>
    <t>ME141</t>
  </si>
  <si>
    <t>PINCEL BR15/110/52</t>
  </si>
  <si>
    <t>ME143</t>
  </si>
  <si>
    <t>PINCEL 13/80/46</t>
  </si>
  <si>
    <t>ME144</t>
  </si>
  <si>
    <t>PINCEL BR15/11/45</t>
  </si>
  <si>
    <t>ME145</t>
  </si>
  <si>
    <t>CB/13/45-01 C/INSERTO</t>
  </si>
  <si>
    <t>ME146</t>
  </si>
  <si>
    <t>CABO PARA PINCEL A152</t>
  </si>
  <si>
    <t>ME147</t>
  </si>
  <si>
    <t>PINCEL N48 A2-48</t>
  </si>
  <si>
    <t>ME149</t>
  </si>
  <si>
    <t>PINCEL 3*52</t>
  </si>
  <si>
    <t>ME150</t>
  </si>
  <si>
    <t>PINCEL 3*46</t>
  </si>
  <si>
    <t>ME151</t>
  </si>
  <si>
    <t>PINCEL 3*44</t>
  </si>
  <si>
    <t>ME152</t>
  </si>
  <si>
    <t>PINCEL 3*38</t>
  </si>
  <si>
    <t>ME153</t>
  </si>
  <si>
    <t>PINCEL 3*36</t>
  </si>
  <si>
    <t>ME154</t>
  </si>
  <si>
    <t>PINCEL 1*40</t>
  </si>
  <si>
    <t>ME155</t>
  </si>
  <si>
    <t>PINCEL 1*46</t>
  </si>
  <si>
    <t>ME156</t>
  </si>
  <si>
    <t>PINCEL 1*42</t>
  </si>
  <si>
    <t>ME157</t>
  </si>
  <si>
    <t>PINCEL 1*44</t>
  </si>
  <si>
    <t>ME158</t>
  </si>
  <si>
    <t>PINCEL 13-80-45-02</t>
  </si>
  <si>
    <t>ME160</t>
  </si>
  <si>
    <t>PINCEL 110-13/13 C/INSERTO</t>
  </si>
  <si>
    <t>ME161</t>
  </si>
  <si>
    <t>PINCEL BR13-96-42</t>
  </si>
  <si>
    <t>ME162</t>
  </si>
  <si>
    <t>PINCEL CB131/38-01 INSERTO CABO NATURAL</t>
  </si>
  <si>
    <t>PINCEL CB131/38-01 INSERTO CABO NEGRO</t>
  </si>
  <si>
    <t>FRASCO B12054/S - H8245/S QUITA VIDRIO</t>
  </si>
  <si>
    <t>FRASCO B43054/S H2470/50/S</t>
  </si>
  <si>
    <t>FRASCO GB570-36/0</t>
  </si>
  <si>
    <t>TAPA 157-002 NEGRA (para QE frasco chato)</t>
  </si>
  <si>
    <t>Tapa Interior P/frasco f30-15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</si>
</sst>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indexed="8"/>
      <name val="Helvetica Neue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20"/>
      </right>
      <top style="thin">
        <color indexed="8"/>
      </top>
      <bottom style="thin">
        <color indexed="8"/>
      </bottom>
      <diagonal/>
    </border>
    <border>
      <left style="thin">
        <color indexed="2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4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3" fillId="2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49" fontId="1" fillId="4" borderId="4" xfId="0" applyNumberFormat="1" applyFont="1" applyFill="1" applyBorder="1" applyAlignment="1">
      <alignment wrapText="1"/>
    </xf>
    <xf numFmtId="49" fontId="5" fillId="5" borderId="4" xfId="0" applyNumberFormat="1" applyFont="1" applyFill="1" applyBorder="1" applyAlignment="1">
      <alignment horizontal="left" vertical="center" wrapText="1"/>
    </xf>
    <xf numFmtId="0" fontId="5" fillId="4" borderId="4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/>
    <xf numFmtId="49" fontId="5" fillId="5" borderId="4" xfId="0" applyNumberFormat="1" applyFont="1" applyFill="1" applyBorder="1" applyAlignment="1">
      <alignment horizontal="left" wrapText="1"/>
    </xf>
    <xf numFmtId="0" fontId="5" fillId="4" borderId="4" xfId="0" applyNumberFormat="1" applyFont="1" applyFill="1" applyBorder="1" applyAlignment="1">
      <alignment horizontal="left"/>
    </xf>
    <xf numFmtId="0" fontId="1" fillId="6" borderId="4" xfId="0" applyFont="1" applyFill="1" applyBorder="1" applyAlignment="1"/>
    <xf numFmtId="0" fontId="5" fillId="6" borderId="4" xfId="0" applyNumberFormat="1" applyFont="1" applyFill="1" applyBorder="1" applyAlignment="1">
      <alignment horizontal="left"/>
    </xf>
    <xf numFmtId="0" fontId="5" fillId="6" borderId="4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/>
    <xf numFmtId="49" fontId="5" fillId="4" borderId="4" xfId="0" applyNumberFormat="1" applyFont="1" applyFill="1" applyBorder="1" applyAlignment="1">
      <alignment horizontal="left" wrapText="1"/>
    </xf>
    <xf numFmtId="49" fontId="5" fillId="3" borderId="4" xfId="0" applyNumberFormat="1" applyFont="1" applyFill="1" applyBorder="1" applyAlignment="1">
      <alignment horizontal="left" wrapText="1"/>
    </xf>
    <xf numFmtId="0" fontId="5" fillId="3" borderId="4" xfId="0" applyNumberFormat="1" applyFont="1" applyFill="1" applyBorder="1" applyAlignment="1">
      <alignment horizontal="left"/>
    </xf>
    <xf numFmtId="0" fontId="5" fillId="3" borderId="4" xfId="0" applyNumberFormat="1" applyFont="1" applyFill="1" applyBorder="1" applyAlignment="1">
      <alignment horizontal="left" vertical="center"/>
    </xf>
    <xf numFmtId="49" fontId="5" fillId="5" borderId="4" xfId="0" applyNumberFormat="1" applyFont="1" applyFill="1" applyBorder="1" applyAlignment="1">
      <alignment vertical="center" wrapText="1"/>
    </xf>
    <xf numFmtId="49" fontId="5" fillId="7" borderId="4" xfId="0" applyNumberFormat="1" applyFont="1" applyFill="1" applyBorder="1" applyAlignment="1">
      <alignment horizontal="left" wrapText="1"/>
    </xf>
    <xf numFmtId="49" fontId="5" fillId="7" borderId="4" xfId="0" applyNumberFormat="1" applyFont="1" applyFill="1" applyBorder="1" applyAlignment="1">
      <alignment vertical="center" wrapText="1"/>
    </xf>
    <xf numFmtId="49" fontId="1" fillId="4" borderId="4" xfId="0" applyNumberFormat="1" applyFont="1" applyFill="1" applyBorder="1" applyAlignment="1"/>
    <xf numFmtId="49" fontId="5" fillId="8" borderId="4" xfId="0" applyNumberFormat="1" applyFont="1" applyFill="1" applyBorder="1" applyAlignment="1">
      <alignment horizontal="left" wrapText="1"/>
    </xf>
    <xf numFmtId="49" fontId="1" fillId="9" borderId="4" xfId="0" applyNumberFormat="1" applyFont="1" applyFill="1" applyBorder="1" applyAlignment="1"/>
    <xf numFmtId="0" fontId="5" fillId="9" borderId="4" xfId="0" applyNumberFormat="1" applyFont="1" applyFill="1" applyBorder="1" applyAlignment="1">
      <alignment horizontal="left"/>
    </xf>
    <xf numFmtId="0" fontId="5" fillId="9" borderId="4" xfId="0" applyNumberFormat="1" applyFont="1" applyFill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left" vertical="center" wrapText="1"/>
    </xf>
    <xf numFmtId="49" fontId="1" fillId="6" borderId="4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horizontal="left" vertical="center" wrapText="1"/>
    </xf>
    <xf numFmtId="49" fontId="5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wrapText="1"/>
    </xf>
    <xf numFmtId="49" fontId="5" fillId="3" borderId="4" xfId="0" applyNumberFormat="1" applyFont="1" applyFill="1" applyBorder="1" applyAlignment="1">
      <alignment vertical="center" wrapText="1"/>
    </xf>
    <xf numFmtId="0" fontId="1" fillId="10" borderId="5" xfId="0" applyFont="1" applyFill="1" applyBorder="1" applyAlignment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/>
    <xf numFmtId="0" fontId="1" fillId="4" borderId="4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4" fillId="4" borderId="4" xfId="0" applyFont="1" applyFill="1" applyBorder="1" applyAlignment="1"/>
    <xf numFmtId="0" fontId="4" fillId="3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FFFF00"/>
      <rgbColor rgb="FF92D050"/>
      <rgbColor rgb="FFDFA7A6"/>
      <rgbColor rgb="FF00B0F0"/>
      <rgbColor rgb="FFFF6600"/>
      <rgbColor rgb="FFBFB1D0"/>
      <rgbColor rgb="FFA5D5E2"/>
      <rgbColor rgb="FF0070C0"/>
      <rgbColor rgb="FFDBDBDB"/>
      <rgbColor rgb="FF3F3F3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8"/>
  <sheetViews>
    <sheetView showGridLines="0" tabSelected="1" workbookViewId="0">
      <pane xSplit="1" ySplit="2" topLeftCell="B258" activePane="bottomRight" state="frozen"/>
      <selection pane="topRight"/>
      <selection pane="bottomLeft"/>
      <selection pane="bottomRight" activeCell="G266" sqref="G266"/>
    </sheetView>
  </sheetViews>
  <sheetFormatPr baseColWidth="10" defaultColWidth="16.28515625" defaultRowHeight="15.4" customHeight="1"/>
  <cols>
    <col min="1" max="1" width="7.7109375" style="1" customWidth="1"/>
    <col min="2" max="2" width="20.28515625" style="1" customWidth="1"/>
    <col min="3" max="3" width="29.5703125" style="1" customWidth="1"/>
    <col min="4" max="4" width="8" style="1" customWidth="1"/>
    <col min="5" max="5" width="12.5703125" style="1" customWidth="1"/>
    <col min="6" max="6" width="11.85546875" style="1" customWidth="1"/>
    <col min="7" max="7" width="8.5703125" style="1" customWidth="1"/>
    <col min="8" max="8" width="14" style="1" customWidth="1"/>
    <col min="9" max="11" width="16.28515625" style="1" customWidth="1"/>
    <col min="12" max="16384" width="16.28515625" style="1"/>
  </cols>
  <sheetData>
    <row r="1" spans="1:10" ht="14.85" customHeight="1" thickBo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45.95" customHeight="1">
      <c r="A2" s="2"/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</row>
    <row r="3" spans="1:10" ht="39.6" customHeight="1">
      <c r="A3" s="6" t="s">
        <v>6</v>
      </c>
      <c r="B3" s="7" t="s">
        <v>7</v>
      </c>
      <c r="C3" s="8" t="s">
        <v>8</v>
      </c>
      <c r="D3" s="9">
        <v>31</v>
      </c>
      <c r="E3" s="9">
        <v>510</v>
      </c>
      <c r="F3" s="9">
        <f>D3*E3</f>
        <v>15810</v>
      </c>
    </row>
    <row r="4" spans="1:10" ht="65.650000000000006" customHeight="1">
      <c r="A4" s="6" t="s">
        <v>9</v>
      </c>
      <c r="B4" s="7" t="s">
        <v>10</v>
      </c>
      <c r="C4" s="8" t="s">
        <v>11</v>
      </c>
      <c r="D4" s="9">
        <f>372+170-4</f>
        <v>538</v>
      </c>
      <c r="E4" s="9">
        <v>456</v>
      </c>
      <c r="F4" s="9">
        <f>D4*E4-24-152</f>
        <v>245152</v>
      </c>
    </row>
    <row r="5" spans="1:10" ht="39.6" customHeight="1">
      <c r="A5" s="6" t="s">
        <v>12</v>
      </c>
      <c r="B5" s="7" t="s">
        <v>13</v>
      </c>
      <c r="C5" s="8" t="s">
        <v>14</v>
      </c>
      <c r="D5" s="9">
        <v>3</v>
      </c>
      <c r="E5" s="9">
        <v>138</v>
      </c>
      <c r="F5" s="9">
        <f>D5*E5+92+314-114</f>
        <v>706</v>
      </c>
    </row>
    <row r="6" spans="1:10" ht="39.6" customHeight="1">
      <c r="A6" s="6" t="s">
        <v>15</v>
      </c>
      <c r="B6" s="7" t="s">
        <v>16</v>
      </c>
      <c r="C6" s="8" t="s">
        <v>17</v>
      </c>
      <c r="D6" s="9">
        <v>12</v>
      </c>
      <c r="E6" s="9">
        <v>351</v>
      </c>
      <c r="F6" s="9">
        <f>D6*E6-10</f>
        <v>4202</v>
      </c>
    </row>
    <row r="7" spans="1:10" ht="39.6" customHeight="1">
      <c r="A7" s="6" t="s">
        <v>18</v>
      </c>
      <c r="B7" s="7" t="s">
        <v>19</v>
      </c>
      <c r="C7" s="8" t="s">
        <v>20</v>
      </c>
      <c r="D7" s="9">
        <v>179</v>
      </c>
      <c r="E7" s="9">
        <v>384</v>
      </c>
      <c r="F7" s="9">
        <f>D7*E7+366</f>
        <v>69102</v>
      </c>
    </row>
    <row r="8" spans="1:10" ht="39.6" customHeight="1">
      <c r="A8" s="6" t="s">
        <v>21</v>
      </c>
      <c r="B8" s="7" t="s">
        <v>22</v>
      </c>
      <c r="C8" s="8" t="s">
        <v>23</v>
      </c>
      <c r="D8" s="9">
        <v>43</v>
      </c>
      <c r="E8" s="9">
        <v>588</v>
      </c>
      <c r="F8" s="9">
        <f>D8*E8+313</f>
        <v>25597</v>
      </c>
    </row>
    <row r="9" spans="1:10" ht="117.6" customHeight="1">
      <c r="A9" s="6" t="s">
        <v>24</v>
      </c>
      <c r="B9" s="7" t="s">
        <v>25</v>
      </c>
      <c r="C9" s="8" t="s">
        <v>26</v>
      </c>
      <c r="D9" s="9">
        <v>187</v>
      </c>
      <c r="E9" s="9">
        <v>504</v>
      </c>
      <c r="F9" s="9">
        <f>D9*E9+494</f>
        <v>94742</v>
      </c>
    </row>
    <row r="10" spans="1:10" ht="39.6" customHeight="1">
      <c r="A10" s="6" t="s">
        <v>27</v>
      </c>
      <c r="B10" s="7" t="s">
        <v>28</v>
      </c>
      <c r="C10" s="8" t="s">
        <v>29</v>
      </c>
      <c r="D10" s="9">
        <f>244+353</f>
        <v>597</v>
      </c>
      <c r="E10" s="9">
        <v>351</v>
      </c>
      <c r="F10" s="9">
        <f>D10*E10-150</f>
        <v>209397</v>
      </c>
    </row>
    <row r="11" spans="1:10" ht="39.6" customHeight="1">
      <c r="A11" s="6" t="s">
        <v>30</v>
      </c>
      <c r="B11" s="7" t="s">
        <v>31</v>
      </c>
      <c r="C11" s="11" t="s">
        <v>32</v>
      </c>
      <c r="D11" s="12">
        <f>70+110</f>
        <v>180</v>
      </c>
      <c r="E11" s="12">
        <v>540</v>
      </c>
      <c r="F11" s="9">
        <f>D11*E11+287</f>
        <v>97487</v>
      </c>
    </row>
    <row r="12" spans="1:10" ht="39.6" customHeight="1">
      <c r="A12" s="6" t="s">
        <v>33</v>
      </c>
      <c r="B12" s="7" t="s">
        <v>34</v>
      </c>
      <c r="C12" s="11" t="s">
        <v>35</v>
      </c>
      <c r="D12" s="12">
        <f>166</f>
        <v>166</v>
      </c>
      <c r="E12" s="12">
        <v>480</v>
      </c>
      <c r="F12" s="9">
        <f>D12*E12</f>
        <v>79680</v>
      </c>
    </row>
    <row r="13" spans="1:10" ht="52.5" customHeight="1">
      <c r="A13" s="6" t="s">
        <v>36</v>
      </c>
      <c r="B13" s="7" t="s">
        <v>37</v>
      </c>
      <c r="C13" s="11" t="s">
        <v>38</v>
      </c>
      <c r="D13" s="12">
        <f>63</f>
        <v>63</v>
      </c>
      <c r="E13" s="12">
        <v>520</v>
      </c>
      <c r="F13" s="9">
        <f>D13*E13+568</f>
        <v>33328</v>
      </c>
    </row>
    <row r="14" spans="1:10" ht="39.6" customHeight="1">
      <c r="A14" s="6" t="s">
        <v>39</v>
      </c>
      <c r="B14" s="7" t="s">
        <v>40</v>
      </c>
      <c r="C14" s="11" t="s">
        <v>41</v>
      </c>
      <c r="D14" s="12">
        <f>20+3</f>
        <v>23</v>
      </c>
      <c r="E14" s="12">
        <v>850</v>
      </c>
      <c r="F14" s="9">
        <f>D14*E14+194-144-300</f>
        <v>19300</v>
      </c>
    </row>
    <row r="15" spans="1:10" ht="39.6" customHeight="1">
      <c r="A15" s="6" t="s">
        <v>42</v>
      </c>
      <c r="B15" s="7" t="s">
        <v>43</v>
      </c>
      <c r="C15" s="11" t="s">
        <v>44</v>
      </c>
      <c r="D15" s="12">
        <v>162</v>
      </c>
      <c r="E15" s="12">
        <v>552</v>
      </c>
      <c r="F15" s="9">
        <f>D15*E15+538+516</f>
        <v>90478</v>
      </c>
    </row>
    <row r="16" spans="1:10" ht="39.6" customHeight="1">
      <c r="A16" s="6" t="s">
        <v>45</v>
      </c>
      <c r="B16" s="7" t="s">
        <v>46</v>
      </c>
      <c r="C16" s="11" t="s">
        <v>47</v>
      </c>
      <c r="D16" s="12">
        <v>3</v>
      </c>
      <c r="E16" s="12">
        <v>728</v>
      </c>
      <c r="F16" s="9">
        <f>D16*E16+313</f>
        <v>2497</v>
      </c>
    </row>
    <row r="17" spans="1:6" ht="47.25" customHeight="1">
      <c r="A17" s="13"/>
      <c r="B17" s="7" t="s">
        <v>48</v>
      </c>
      <c r="C17" s="11" t="s">
        <v>49</v>
      </c>
      <c r="D17" s="14">
        <f>171-15-14-37-1-15-1</f>
        <v>88</v>
      </c>
      <c r="E17" s="14">
        <v>714</v>
      </c>
      <c r="F17" s="15">
        <f>D17*E17+321-400-400-86-400-400</f>
        <v>61467</v>
      </c>
    </row>
    <row r="18" spans="1:6" ht="78.599999999999994" customHeight="1">
      <c r="A18" s="16"/>
      <c r="B18" s="7" t="s">
        <v>50</v>
      </c>
      <c r="C18" s="17" t="s">
        <v>51</v>
      </c>
      <c r="D18" s="12">
        <v>1</v>
      </c>
      <c r="E18" s="12">
        <v>592</v>
      </c>
      <c r="F18" s="9">
        <f>D18*E18</f>
        <v>592</v>
      </c>
    </row>
    <row r="19" spans="1:6" ht="78.599999999999994" customHeight="1">
      <c r="A19" s="16"/>
      <c r="B19" s="7" t="s">
        <v>50</v>
      </c>
      <c r="C19" s="17" t="s">
        <v>52</v>
      </c>
      <c r="D19" s="12">
        <v>8</v>
      </c>
      <c r="E19" s="12">
        <v>1000</v>
      </c>
      <c r="F19" s="9">
        <f>D19*E19+410</f>
        <v>8410</v>
      </c>
    </row>
    <row r="20" spans="1:6" ht="78.599999999999994" customHeight="1">
      <c r="A20" s="16"/>
      <c r="B20" s="7" t="s">
        <v>50</v>
      </c>
      <c r="C20" s="17" t="s">
        <v>53</v>
      </c>
      <c r="D20" s="12">
        <v>1</v>
      </c>
      <c r="E20" s="12">
        <v>175</v>
      </c>
      <c r="F20" s="9">
        <f>D20*E20</f>
        <v>175</v>
      </c>
    </row>
    <row r="21" spans="1:6" ht="39.6" customHeight="1">
      <c r="A21" s="16"/>
      <c r="B21" s="7" t="s">
        <v>54</v>
      </c>
      <c r="C21" s="17" t="s">
        <v>55</v>
      </c>
      <c r="D21" s="12">
        <v>1</v>
      </c>
      <c r="E21" s="12">
        <v>175</v>
      </c>
      <c r="F21" s="9">
        <f>D21*E21</f>
        <v>175</v>
      </c>
    </row>
    <row r="22" spans="1:6" ht="52.5" customHeight="1">
      <c r="A22" s="16"/>
      <c r="B22" s="7" t="s">
        <v>56</v>
      </c>
      <c r="C22" s="17" t="s">
        <v>57</v>
      </c>
      <c r="D22" s="12">
        <v>1</v>
      </c>
      <c r="E22" s="12">
        <v>384</v>
      </c>
      <c r="F22" s="9">
        <f>D22*E22</f>
        <v>384</v>
      </c>
    </row>
    <row r="23" spans="1:6" ht="52.5" customHeight="1">
      <c r="A23" s="16"/>
      <c r="B23" s="7" t="s">
        <v>56</v>
      </c>
      <c r="C23" s="17" t="s">
        <v>58</v>
      </c>
      <c r="D23" s="12">
        <f>19-4-3</f>
        <v>12</v>
      </c>
      <c r="E23" s="12">
        <v>384</v>
      </c>
      <c r="F23" s="9">
        <f>D23*E23+374</f>
        <v>4982</v>
      </c>
    </row>
    <row r="24" spans="1:6" ht="52.5" customHeight="1">
      <c r="A24" s="16"/>
      <c r="B24" s="7" t="s">
        <v>59</v>
      </c>
      <c r="C24" s="17" t="s">
        <v>60</v>
      </c>
      <c r="D24" s="12">
        <v>1</v>
      </c>
      <c r="E24" s="12">
        <v>460</v>
      </c>
      <c r="F24" s="9">
        <f>D24*E24+308+442</f>
        <v>1210</v>
      </c>
    </row>
    <row r="25" spans="1:6" ht="52.5" customHeight="1">
      <c r="A25" s="16"/>
      <c r="B25" s="7" t="s">
        <v>59</v>
      </c>
      <c r="C25" s="17" t="s">
        <v>61</v>
      </c>
      <c r="D25" s="12">
        <v>2</v>
      </c>
      <c r="E25" s="12">
        <v>460</v>
      </c>
      <c r="F25" s="9">
        <f>D25*E25</f>
        <v>920</v>
      </c>
    </row>
    <row r="26" spans="1:6" ht="52.5" customHeight="1">
      <c r="A26" s="16"/>
      <c r="B26" s="7" t="s">
        <v>62</v>
      </c>
      <c r="C26" s="17" t="s">
        <v>63</v>
      </c>
      <c r="D26" s="12">
        <v>19</v>
      </c>
      <c r="E26" s="12">
        <v>308</v>
      </c>
      <c r="F26" s="9">
        <f>D26*E26+250</f>
        <v>6102</v>
      </c>
    </row>
    <row r="27" spans="1:6" ht="39.6" customHeight="1">
      <c r="A27" s="16"/>
      <c r="B27" s="7" t="s">
        <v>64</v>
      </c>
      <c r="C27" s="17" t="s">
        <v>65</v>
      </c>
      <c r="D27" s="12">
        <v>10</v>
      </c>
      <c r="E27" s="12">
        <v>552</v>
      </c>
      <c r="F27" s="9">
        <f>D27*E27</f>
        <v>5520</v>
      </c>
    </row>
    <row r="28" spans="1:6" ht="39.6" customHeight="1">
      <c r="A28" s="16"/>
      <c r="B28" s="7" t="s">
        <v>66</v>
      </c>
      <c r="C28" s="11" t="s">
        <v>67</v>
      </c>
      <c r="D28" s="12">
        <v>123</v>
      </c>
      <c r="E28" s="12">
        <v>884</v>
      </c>
      <c r="F28" s="9">
        <f>D28*E28</f>
        <v>108732</v>
      </c>
    </row>
    <row r="29" spans="1:6" ht="52.5" customHeight="1">
      <c r="A29" s="16"/>
      <c r="B29" s="7" t="s">
        <v>68</v>
      </c>
      <c r="C29" s="11" t="s">
        <v>69</v>
      </c>
      <c r="D29" s="12">
        <v>5</v>
      </c>
      <c r="E29" s="12">
        <v>480</v>
      </c>
      <c r="F29" s="9">
        <f>D29*E29</f>
        <v>2400</v>
      </c>
    </row>
    <row r="30" spans="1:6" ht="52.5" customHeight="1">
      <c r="A30" s="16"/>
      <c r="B30" s="7" t="s">
        <v>68</v>
      </c>
      <c r="C30" s="11" t="s">
        <v>70</v>
      </c>
      <c r="D30" s="12">
        <v>3</v>
      </c>
      <c r="E30" s="12">
        <v>480</v>
      </c>
      <c r="F30" s="9">
        <f>D30*E30+430</f>
        <v>1870</v>
      </c>
    </row>
    <row r="31" spans="1:6" ht="52.5" customHeight="1">
      <c r="A31" s="16"/>
      <c r="B31" s="7" t="s">
        <v>71</v>
      </c>
      <c r="C31" s="17" t="s">
        <v>72</v>
      </c>
      <c r="D31" s="12">
        <v>6</v>
      </c>
      <c r="E31" s="12">
        <v>840</v>
      </c>
      <c r="F31" s="9">
        <f>D31*E31</f>
        <v>5040</v>
      </c>
    </row>
    <row r="32" spans="1:6" ht="52.5" customHeight="1">
      <c r="A32" s="16"/>
      <c r="B32" s="7" t="s">
        <v>68</v>
      </c>
      <c r="C32" s="11" t="s">
        <v>73</v>
      </c>
      <c r="D32" s="12">
        <v>1</v>
      </c>
      <c r="E32" s="12">
        <v>480</v>
      </c>
      <c r="F32" s="9">
        <f>D32*E32+454</f>
        <v>934</v>
      </c>
    </row>
    <row r="33" spans="1:6" ht="52.5" customHeight="1">
      <c r="A33" s="16"/>
      <c r="B33" s="7" t="s">
        <v>68</v>
      </c>
      <c r="C33" s="11" t="s">
        <v>74</v>
      </c>
      <c r="D33" s="12">
        <v>1</v>
      </c>
      <c r="E33" s="12">
        <v>480</v>
      </c>
      <c r="F33" s="9">
        <f>D33*E33</f>
        <v>480</v>
      </c>
    </row>
    <row r="34" spans="1:6" ht="52.5" customHeight="1">
      <c r="A34" s="16"/>
      <c r="B34" s="7" t="s">
        <v>75</v>
      </c>
      <c r="C34" s="18" t="s">
        <v>76</v>
      </c>
      <c r="D34" s="19">
        <v>6</v>
      </c>
      <c r="E34" s="19">
        <v>552</v>
      </c>
      <c r="F34" s="20">
        <f>D34*E34</f>
        <v>3312</v>
      </c>
    </row>
    <row r="35" spans="1:6" ht="61.5" customHeight="1">
      <c r="A35" s="16"/>
      <c r="B35" s="7" t="s">
        <v>77</v>
      </c>
      <c r="C35" s="11" t="s">
        <v>78</v>
      </c>
      <c r="D35" s="12">
        <v>0</v>
      </c>
      <c r="E35" s="12">
        <v>3000</v>
      </c>
      <c r="F35" s="9">
        <f>D35*E35+1700</f>
        <v>1700</v>
      </c>
    </row>
    <row r="36" spans="1:6" ht="63" customHeight="1">
      <c r="A36" s="16"/>
      <c r="B36" s="7" t="s">
        <v>77</v>
      </c>
      <c r="C36" s="11" t="s">
        <v>79</v>
      </c>
      <c r="D36" s="12">
        <v>24</v>
      </c>
      <c r="E36" s="12">
        <v>3000</v>
      </c>
      <c r="F36" s="9">
        <f>D36*E36+1600</f>
        <v>73600</v>
      </c>
    </row>
    <row r="37" spans="1:6" ht="52.5" customHeight="1">
      <c r="A37" s="16"/>
      <c r="B37" s="7" t="s">
        <v>77</v>
      </c>
      <c r="C37" s="11" t="s">
        <v>80</v>
      </c>
      <c r="D37" s="12">
        <v>4</v>
      </c>
      <c r="E37" s="12">
        <v>3250</v>
      </c>
      <c r="F37" s="9">
        <f>D37*E37+3220</f>
        <v>16220</v>
      </c>
    </row>
    <row r="38" spans="1:6" ht="52.5" customHeight="1">
      <c r="A38" s="16"/>
      <c r="B38" s="7" t="s">
        <v>77</v>
      </c>
      <c r="C38" s="21" t="s">
        <v>81</v>
      </c>
      <c r="D38" s="12">
        <v>9</v>
      </c>
      <c r="E38" s="12">
        <v>3900</v>
      </c>
      <c r="F38" s="9">
        <f>D38*E38</f>
        <v>35100</v>
      </c>
    </row>
    <row r="39" spans="1:6" ht="61.5" customHeight="1">
      <c r="A39" s="6" t="s">
        <v>82</v>
      </c>
      <c r="B39" s="7" t="s">
        <v>77</v>
      </c>
      <c r="C39" s="21" t="s">
        <v>83</v>
      </c>
      <c r="D39" s="12">
        <v>7</v>
      </c>
      <c r="E39" s="12">
        <v>3150</v>
      </c>
      <c r="F39" s="9">
        <f>D39*E39+1575</f>
        <v>23625</v>
      </c>
    </row>
    <row r="40" spans="1:6" ht="52.5" customHeight="1">
      <c r="A40" s="6" t="s">
        <v>84</v>
      </c>
      <c r="B40" s="7" t="s">
        <v>77</v>
      </c>
      <c r="C40" s="21" t="s">
        <v>85</v>
      </c>
      <c r="D40" s="12">
        <v>8</v>
      </c>
      <c r="E40" s="12">
        <v>2400</v>
      </c>
      <c r="F40" s="9">
        <f>D40*E40+2370</f>
        <v>21570</v>
      </c>
    </row>
    <row r="41" spans="1:6" ht="52.5" customHeight="1">
      <c r="A41" s="6" t="s">
        <v>86</v>
      </c>
      <c r="B41" s="7" t="s">
        <v>77</v>
      </c>
      <c r="C41" s="22" t="s">
        <v>87</v>
      </c>
      <c r="D41" s="12">
        <v>27</v>
      </c>
      <c r="E41" s="12">
        <v>2250</v>
      </c>
      <c r="F41" s="9">
        <f>D41*E41+1950+1450-150</f>
        <v>64000</v>
      </c>
    </row>
    <row r="42" spans="1:6" ht="66" customHeight="1">
      <c r="A42" s="6" t="s">
        <v>88</v>
      </c>
      <c r="B42" s="7" t="s">
        <v>77</v>
      </c>
      <c r="C42" s="23" t="s">
        <v>89</v>
      </c>
      <c r="D42" s="12">
        <f>21+99</f>
        <v>120</v>
      </c>
      <c r="E42" s="12">
        <v>3150</v>
      </c>
      <c r="F42" s="9">
        <f>D42*E42-2000</f>
        <v>376000</v>
      </c>
    </row>
    <row r="43" spans="1:6" ht="52.5" customHeight="1">
      <c r="A43" s="6" t="s">
        <v>90</v>
      </c>
      <c r="B43" s="7" t="s">
        <v>91</v>
      </c>
      <c r="C43" s="11" t="s">
        <v>92</v>
      </c>
      <c r="D43" s="12">
        <v>1</v>
      </c>
      <c r="E43" s="12">
        <v>895</v>
      </c>
      <c r="F43" s="9">
        <f>D43*E43</f>
        <v>895</v>
      </c>
    </row>
    <row r="44" spans="1:6" ht="60">
      <c r="A44" s="6" t="s">
        <v>93</v>
      </c>
      <c r="B44" s="7" t="s">
        <v>91</v>
      </c>
      <c r="C44" s="11" t="s">
        <v>94</v>
      </c>
      <c r="D44" s="12">
        <v>1</v>
      </c>
      <c r="E44" s="12">
        <v>6240</v>
      </c>
      <c r="F44" s="9">
        <f>D44*E44+4509+3550</f>
        <v>14299</v>
      </c>
    </row>
    <row r="45" spans="1:6" ht="60">
      <c r="A45" s="6" t="s">
        <v>95</v>
      </c>
      <c r="B45" s="7" t="s">
        <v>91</v>
      </c>
      <c r="C45" s="11" t="s">
        <v>96</v>
      </c>
      <c r="D45" s="12">
        <v>1</v>
      </c>
      <c r="E45" s="12">
        <v>6240</v>
      </c>
      <c r="F45" s="9">
        <f>D45*E45+2760+3466+965</f>
        <v>13431</v>
      </c>
    </row>
    <row r="46" spans="1:6" ht="52.5" customHeight="1">
      <c r="A46" s="6" t="s">
        <v>97</v>
      </c>
      <c r="B46" s="7" t="s">
        <v>91</v>
      </c>
      <c r="C46" s="11" t="s">
        <v>98</v>
      </c>
      <c r="D46" s="12">
        <v>1</v>
      </c>
      <c r="E46" s="12">
        <v>6240</v>
      </c>
      <c r="F46" s="9">
        <f>D46*E46</f>
        <v>6240</v>
      </c>
    </row>
    <row r="47" spans="1:6" ht="52.5" customHeight="1">
      <c r="A47" s="6" t="s">
        <v>99</v>
      </c>
      <c r="B47" s="7" t="s">
        <v>100</v>
      </c>
      <c r="C47" s="11" t="s">
        <v>101</v>
      </c>
      <c r="D47" s="12">
        <v>5</v>
      </c>
      <c r="E47" s="12">
        <v>3825</v>
      </c>
      <c r="F47" s="9">
        <f>D47*E47+(4*3780)+3775+3516+1672+600+1071+3823</f>
        <v>48702</v>
      </c>
    </row>
    <row r="48" spans="1:6" ht="75">
      <c r="A48" s="6" t="s">
        <v>102</v>
      </c>
      <c r="B48" s="7" t="s">
        <v>103</v>
      </c>
      <c r="C48" s="11" t="s">
        <v>104</v>
      </c>
      <c r="D48" s="12">
        <v>10</v>
      </c>
      <c r="E48" s="12">
        <v>10800</v>
      </c>
      <c r="F48" s="9">
        <f>D48*E48+12960+10358+9800+7615</f>
        <v>148733</v>
      </c>
    </row>
    <row r="49" spans="1:6" ht="52.5" customHeight="1">
      <c r="A49" s="6" t="s">
        <v>105</v>
      </c>
      <c r="B49" s="7" t="s">
        <v>91</v>
      </c>
      <c r="C49" s="11" t="s">
        <v>106</v>
      </c>
      <c r="D49" s="12">
        <f>10+21</f>
        <v>31</v>
      </c>
      <c r="E49" s="12">
        <v>8064</v>
      </c>
      <c r="F49" s="9">
        <f>D49*E49+3548+7064</f>
        <v>260596</v>
      </c>
    </row>
    <row r="50" spans="1:6" ht="52.5" customHeight="1">
      <c r="A50" s="6" t="s">
        <v>107</v>
      </c>
      <c r="B50" s="7" t="s">
        <v>91</v>
      </c>
      <c r="C50" s="11" t="s">
        <v>108</v>
      </c>
      <c r="D50" s="12">
        <v>1</v>
      </c>
      <c r="E50" s="12">
        <v>8064</v>
      </c>
      <c r="F50" s="9">
        <f>D50*E50+1209-800</f>
        <v>8473</v>
      </c>
    </row>
    <row r="51" spans="1:6" ht="52.5" customHeight="1">
      <c r="A51" s="16"/>
      <c r="B51" s="7" t="s">
        <v>91</v>
      </c>
      <c r="C51" s="11" t="s">
        <v>109</v>
      </c>
      <c r="D51" s="12">
        <v>6</v>
      </c>
      <c r="E51" s="12">
        <v>8064</v>
      </c>
      <c r="F51" s="9">
        <f>D51*E51</f>
        <v>48384</v>
      </c>
    </row>
    <row r="52" spans="1:6" ht="52.5" customHeight="1">
      <c r="A52" s="6" t="s">
        <v>110</v>
      </c>
      <c r="B52" s="7" t="s">
        <v>100</v>
      </c>
      <c r="C52" s="11" t="s">
        <v>111</v>
      </c>
      <c r="D52" s="12">
        <v>8</v>
      </c>
      <c r="E52" s="12">
        <v>4000</v>
      </c>
      <c r="F52" s="9">
        <f>D52*E52+1540</f>
        <v>33540</v>
      </c>
    </row>
    <row r="53" spans="1:6" ht="52.5" customHeight="1">
      <c r="A53" s="6" t="s">
        <v>112</v>
      </c>
      <c r="B53" s="7" t="s">
        <v>91</v>
      </c>
      <c r="C53" s="11" t="s">
        <v>113</v>
      </c>
      <c r="D53" s="12">
        <v>39</v>
      </c>
      <c r="E53" s="12">
        <v>3000</v>
      </c>
      <c r="F53" s="9">
        <f>D53*E53+1820</f>
        <v>118820</v>
      </c>
    </row>
    <row r="54" spans="1:6" ht="60">
      <c r="A54" s="6" t="s">
        <v>114</v>
      </c>
      <c r="B54" s="7" t="s">
        <v>91</v>
      </c>
      <c r="C54" s="11" t="s">
        <v>115</v>
      </c>
      <c r="D54" s="12">
        <v>1</v>
      </c>
      <c r="E54" s="12">
        <v>3012</v>
      </c>
      <c r="F54" s="9">
        <f>D54*E54+2915</f>
        <v>5927</v>
      </c>
    </row>
    <row r="55" spans="1:6" ht="52.5" customHeight="1">
      <c r="A55" s="16"/>
      <c r="B55" s="7" t="s">
        <v>91</v>
      </c>
      <c r="C55" s="11" t="s">
        <v>116</v>
      </c>
      <c r="D55" s="12">
        <v>1</v>
      </c>
      <c r="E55" s="12">
        <v>1000</v>
      </c>
      <c r="F55" s="9">
        <f>D55*E55</f>
        <v>1000</v>
      </c>
    </row>
    <row r="56" spans="1:6" ht="52.5" customHeight="1">
      <c r="A56" s="16"/>
      <c r="B56" s="7" t="s">
        <v>91</v>
      </c>
      <c r="C56" s="11" t="s">
        <v>117</v>
      </c>
      <c r="D56" s="12">
        <v>1</v>
      </c>
      <c r="E56" s="12">
        <v>5160</v>
      </c>
      <c r="F56" s="9">
        <f>D56*E56</f>
        <v>5160</v>
      </c>
    </row>
    <row r="57" spans="1:6" ht="60">
      <c r="A57" s="6" t="s">
        <v>118</v>
      </c>
      <c r="B57" s="7" t="s">
        <v>119</v>
      </c>
      <c r="C57" s="11" t="s">
        <v>120</v>
      </c>
      <c r="D57" s="12">
        <v>2</v>
      </c>
      <c r="E57" s="12">
        <v>1150</v>
      </c>
      <c r="F57" s="9">
        <f>D57*E57+2300+936</f>
        <v>5536</v>
      </c>
    </row>
    <row r="58" spans="1:6" ht="52.5" customHeight="1">
      <c r="A58" s="6" t="s">
        <v>121</v>
      </c>
      <c r="B58" s="7" t="s">
        <v>91</v>
      </c>
      <c r="C58" s="11" t="s">
        <v>122</v>
      </c>
      <c r="D58" s="12">
        <v>1</v>
      </c>
      <c r="E58" s="12">
        <v>952</v>
      </c>
      <c r="F58" s="9">
        <f>D58*E58+1100</f>
        <v>2052</v>
      </c>
    </row>
    <row r="59" spans="1:6" ht="52.5" customHeight="1">
      <c r="A59" s="6" t="s">
        <v>123</v>
      </c>
      <c r="B59" s="7" t="s">
        <v>91</v>
      </c>
      <c r="C59" s="11" t="s">
        <v>124</v>
      </c>
      <c r="D59" s="12">
        <v>1</v>
      </c>
      <c r="E59" s="12">
        <v>1586</v>
      </c>
      <c r="F59" s="9">
        <f>D59*E59</f>
        <v>1586</v>
      </c>
    </row>
    <row r="60" spans="1:6" ht="60">
      <c r="A60" s="16"/>
      <c r="B60" s="7" t="s">
        <v>91</v>
      </c>
      <c r="C60" s="11" t="s">
        <v>125</v>
      </c>
      <c r="D60" s="12">
        <v>1</v>
      </c>
      <c r="E60" s="12">
        <v>1500</v>
      </c>
      <c r="F60" s="9">
        <f>D60*E60-300-300</f>
        <v>900</v>
      </c>
    </row>
    <row r="61" spans="1:6" ht="60">
      <c r="A61" s="6" t="s">
        <v>126</v>
      </c>
      <c r="B61" s="7" t="s">
        <v>91</v>
      </c>
      <c r="C61" s="11" t="s">
        <v>127</v>
      </c>
      <c r="D61" s="12">
        <v>1</v>
      </c>
      <c r="E61" s="12">
        <v>1680</v>
      </c>
      <c r="F61" s="9">
        <f>D61*E61+800-20</f>
        <v>2460</v>
      </c>
    </row>
    <row r="62" spans="1:6" ht="60">
      <c r="A62" s="6" t="s">
        <v>128</v>
      </c>
      <c r="B62" s="7" t="s">
        <v>129</v>
      </c>
      <c r="C62" s="17" t="s">
        <v>130</v>
      </c>
      <c r="D62" s="12">
        <v>1</v>
      </c>
      <c r="E62" s="12">
        <v>2000</v>
      </c>
      <c r="F62" s="9">
        <f>D62*E62+1135</f>
        <v>3135</v>
      </c>
    </row>
    <row r="63" spans="1:6" ht="26.65" customHeight="1">
      <c r="A63" s="24" t="s">
        <v>131</v>
      </c>
      <c r="B63" s="7" t="s">
        <v>132</v>
      </c>
      <c r="C63" s="17" t="s">
        <v>133</v>
      </c>
      <c r="D63" s="12">
        <v>1</v>
      </c>
      <c r="E63" s="12">
        <v>8050</v>
      </c>
      <c r="F63" s="9">
        <f>D63*E63</f>
        <v>8050</v>
      </c>
    </row>
    <row r="64" spans="1:6" ht="30.4" customHeight="1">
      <c r="A64" s="24" t="s">
        <v>134</v>
      </c>
      <c r="B64" s="7" t="s">
        <v>135</v>
      </c>
      <c r="C64" s="11" t="s">
        <v>136</v>
      </c>
      <c r="D64" s="12">
        <v>31</v>
      </c>
      <c r="E64" s="12">
        <v>3150</v>
      </c>
      <c r="F64" s="9">
        <f>D64*E64+2108-200</f>
        <v>99558</v>
      </c>
    </row>
    <row r="65" spans="1:6" ht="30.4" customHeight="1">
      <c r="A65" s="24" t="s">
        <v>137</v>
      </c>
      <c r="B65" s="7" t="s">
        <v>135</v>
      </c>
      <c r="C65" s="11" t="s">
        <v>138</v>
      </c>
      <c r="D65" s="12">
        <v>19</v>
      </c>
      <c r="E65" s="12">
        <v>3150</v>
      </c>
      <c r="F65" s="9">
        <f>D65*E65+1588</f>
        <v>61438</v>
      </c>
    </row>
    <row r="66" spans="1:6" ht="30.4" customHeight="1">
      <c r="A66" s="24" t="s">
        <v>139</v>
      </c>
      <c r="B66" s="7" t="s">
        <v>135</v>
      </c>
      <c r="C66" s="11" t="s">
        <v>140</v>
      </c>
      <c r="D66" s="12">
        <v>14</v>
      </c>
      <c r="E66" s="12">
        <v>3150</v>
      </c>
      <c r="F66" s="9">
        <f>D66*E66+(5*3500)+2286</f>
        <v>63886</v>
      </c>
    </row>
    <row r="67" spans="1:6" ht="45.4" customHeight="1">
      <c r="A67" s="24" t="s">
        <v>141</v>
      </c>
      <c r="B67" s="7" t="s">
        <v>135</v>
      </c>
      <c r="C67" s="11" t="s">
        <v>142</v>
      </c>
      <c r="D67" s="12">
        <v>4</v>
      </c>
      <c r="E67" s="12">
        <v>3150</v>
      </c>
      <c r="F67" s="9">
        <f>D67*E67+3000+1515</f>
        <v>17115</v>
      </c>
    </row>
    <row r="68" spans="1:6" ht="30.4" customHeight="1">
      <c r="A68" s="24" t="s">
        <v>143</v>
      </c>
      <c r="B68" s="7" t="s">
        <v>135</v>
      </c>
      <c r="C68" s="11" t="s">
        <v>144</v>
      </c>
      <c r="D68" s="12">
        <v>4</v>
      </c>
      <c r="E68" s="12">
        <v>3150</v>
      </c>
      <c r="F68" s="9">
        <f>D68*E68+2646</f>
        <v>15246</v>
      </c>
    </row>
    <row r="69" spans="1:6" ht="30.4" customHeight="1">
      <c r="A69" s="24" t="s">
        <v>145</v>
      </c>
      <c r="B69" s="7" t="s">
        <v>135</v>
      </c>
      <c r="C69" s="11" t="s">
        <v>146</v>
      </c>
      <c r="D69" s="12">
        <v>4</v>
      </c>
      <c r="E69" s="12">
        <v>3150</v>
      </c>
      <c r="F69" s="9">
        <f>D69*E69+1822+413</f>
        <v>14835</v>
      </c>
    </row>
    <row r="70" spans="1:6" ht="30.4" customHeight="1">
      <c r="A70" s="24" t="s">
        <v>147</v>
      </c>
      <c r="B70" s="7" t="s">
        <v>148</v>
      </c>
      <c r="C70" s="11" t="s">
        <v>149</v>
      </c>
      <c r="D70" s="12">
        <v>20</v>
      </c>
      <c r="E70" s="12">
        <v>3150</v>
      </c>
      <c r="F70" s="9">
        <f>D70*E70+3150+3101+1000+(7*2940)-350</f>
        <v>90481</v>
      </c>
    </row>
    <row r="71" spans="1:6" ht="30.4" customHeight="1">
      <c r="A71" s="10"/>
      <c r="B71" s="7" t="s">
        <v>150</v>
      </c>
      <c r="C71" s="25" t="s">
        <v>151</v>
      </c>
      <c r="D71" s="12">
        <f>20-1</f>
        <v>19</v>
      </c>
      <c r="E71" s="12">
        <v>3150</v>
      </c>
      <c r="F71" s="9">
        <f>59670-9450</f>
        <v>50220</v>
      </c>
    </row>
    <row r="72" spans="1:6" ht="26.65" customHeight="1">
      <c r="A72" s="10"/>
      <c r="B72" s="7" t="s">
        <v>135</v>
      </c>
      <c r="C72" s="11" t="s">
        <v>152</v>
      </c>
      <c r="D72" s="12">
        <v>1</v>
      </c>
      <c r="E72" s="12">
        <v>1908</v>
      </c>
      <c r="F72" s="9">
        <f>D72*E72</f>
        <v>1908</v>
      </c>
    </row>
    <row r="73" spans="1:6" ht="30.4" customHeight="1">
      <c r="A73" s="24" t="s">
        <v>153</v>
      </c>
      <c r="B73" s="7" t="s">
        <v>135</v>
      </c>
      <c r="C73" s="11" t="s">
        <v>154</v>
      </c>
      <c r="D73" s="12">
        <v>26</v>
      </c>
      <c r="E73" s="12">
        <v>2520</v>
      </c>
      <c r="F73" s="9">
        <f>D73*E73+2490+2468</f>
        <v>70478</v>
      </c>
    </row>
    <row r="74" spans="1:6" ht="30.4" customHeight="1">
      <c r="A74" s="24" t="s">
        <v>155</v>
      </c>
      <c r="B74" s="7" t="s">
        <v>135</v>
      </c>
      <c r="C74" s="11" t="s">
        <v>156</v>
      </c>
      <c r="D74" s="12">
        <v>8</v>
      </c>
      <c r="E74" s="12">
        <v>2520</v>
      </c>
      <c r="F74" s="9">
        <f>D74*E74+2485+2390+2494+1000+640</f>
        <v>29169</v>
      </c>
    </row>
    <row r="75" spans="1:6" ht="30.4" customHeight="1">
      <c r="A75" s="24" t="s">
        <v>157</v>
      </c>
      <c r="B75" s="7" t="s">
        <v>135</v>
      </c>
      <c r="C75" s="11" t="s">
        <v>158</v>
      </c>
      <c r="D75" s="12">
        <v>15</v>
      </c>
      <c r="E75" s="12">
        <v>2520</v>
      </c>
      <c r="F75" s="9">
        <f>D75*E75+2350+1050+1200+1200+268+1000</f>
        <v>44868</v>
      </c>
    </row>
    <row r="76" spans="1:6" ht="30.4" customHeight="1">
      <c r="A76" s="24" t="s">
        <v>159</v>
      </c>
      <c r="B76" s="7" t="s">
        <v>160</v>
      </c>
      <c r="C76" s="11" t="s">
        <v>161</v>
      </c>
      <c r="D76" s="12">
        <v>8</v>
      </c>
      <c r="E76" s="12">
        <v>2520</v>
      </c>
      <c r="F76" s="9">
        <f>D76*E76+1954+2440+2400</f>
        <v>26954</v>
      </c>
    </row>
    <row r="77" spans="1:6" ht="30.4" customHeight="1">
      <c r="A77" s="26" t="s">
        <v>162</v>
      </c>
      <c r="B77" s="7" t="s">
        <v>160</v>
      </c>
      <c r="C77" s="11" t="s">
        <v>163</v>
      </c>
      <c r="D77" s="27">
        <v>4</v>
      </c>
      <c r="E77" s="27">
        <v>2520</v>
      </c>
      <c r="F77" s="28">
        <f>D77*E77+2447+2425+1938+1344+1400+2080+1956+2012+2095+484</f>
        <v>28261</v>
      </c>
    </row>
    <row r="78" spans="1:6" ht="30.4" customHeight="1">
      <c r="A78" s="24" t="s">
        <v>164</v>
      </c>
      <c r="B78" s="7" t="s">
        <v>135</v>
      </c>
      <c r="C78" s="11" t="s">
        <v>165</v>
      </c>
      <c r="D78" s="12">
        <v>1</v>
      </c>
      <c r="E78" s="12">
        <v>2856</v>
      </c>
      <c r="F78" s="9">
        <f>D78*E78+1596+425+840+1521</f>
        <v>7238</v>
      </c>
    </row>
    <row r="79" spans="1:6" ht="30.4" customHeight="1">
      <c r="A79" s="24" t="s">
        <v>166</v>
      </c>
      <c r="B79" s="7" t="s">
        <v>135</v>
      </c>
      <c r="C79" s="11" t="s">
        <v>167</v>
      </c>
      <c r="D79" s="12">
        <v>1</v>
      </c>
      <c r="E79" s="12">
        <v>2934</v>
      </c>
      <c r="F79" s="9">
        <f>D79*E79+560</f>
        <v>3494</v>
      </c>
    </row>
    <row r="80" spans="1:6" ht="30.4" customHeight="1">
      <c r="A80" s="24" t="s">
        <v>168</v>
      </c>
      <c r="B80" s="7" t="s">
        <v>169</v>
      </c>
      <c r="C80" s="11" t="s">
        <v>170</v>
      </c>
      <c r="D80" s="12">
        <v>1</v>
      </c>
      <c r="E80" s="12">
        <v>2240</v>
      </c>
      <c r="F80" s="9">
        <f>D80*E80+717</f>
        <v>2957</v>
      </c>
    </row>
    <row r="81" spans="1:6" ht="30.4" customHeight="1">
      <c r="A81" s="10"/>
      <c r="B81" s="7" t="s">
        <v>135</v>
      </c>
      <c r="C81" s="8" t="s">
        <v>171</v>
      </c>
      <c r="D81" s="9">
        <v>1</v>
      </c>
      <c r="E81" s="9">
        <v>3369</v>
      </c>
      <c r="F81" s="9">
        <f>D81*E81</f>
        <v>3369</v>
      </c>
    </row>
    <row r="82" spans="1:6" ht="26.65" customHeight="1">
      <c r="A82" s="24" t="s">
        <v>172</v>
      </c>
      <c r="B82" s="7" t="s">
        <v>135</v>
      </c>
      <c r="C82" s="29" t="s">
        <v>173</v>
      </c>
      <c r="D82" s="9">
        <v>1</v>
      </c>
      <c r="E82" s="9">
        <v>2800</v>
      </c>
      <c r="F82" s="9">
        <f>D82*E82+2005</f>
        <v>4805</v>
      </c>
    </row>
    <row r="83" spans="1:6" ht="26.65" customHeight="1">
      <c r="A83" s="24" t="s">
        <v>174</v>
      </c>
      <c r="B83" s="7" t="s">
        <v>135</v>
      </c>
      <c r="C83" s="29" t="s">
        <v>175</v>
      </c>
      <c r="D83" s="9">
        <v>1</v>
      </c>
      <c r="E83" s="9">
        <v>2915</v>
      </c>
      <c r="F83" s="9">
        <f>D83*E83+2730+2380</f>
        <v>8025</v>
      </c>
    </row>
    <row r="84" spans="1:6" ht="30.4" customHeight="1">
      <c r="A84" s="13"/>
      <c r="B84" s="30" t="s">
        <v>176</v>
      </c>
      <c r="C84" s="31" t="s">
        <v>177</v>
      </c>
      <c r="D84" s="15">
        <v>1</v>
      </c>
      <c r="E84" s="15">
        <v>1041</v>
      </c>
      <c r="F84" s="15">
        <f>D84*E84</f>
        <v>1041</v>
      </c>
    </row>
    <row r="85" spans="1:6" ht="26.65" customHeight="1">
      <c r="A85" s="24" t="s">
        <v>178</v>
      </c>
      <c r="B85" s="7" t="s">
        <v>179</v>
      </c>
      <c r="C85" s="11" t="s">
        <v>180</v>
      </c>
      <c r="D85" s="12">
        <f>68-1</f>
        <v>67</v>
      </c>
      <c r="E85" s="12">
        <v>1230</v>
      </c>
      <c r="F85" s="9">
        <f>D85*E85</f>
        <v>82410</v>
      </c>
    </row>
    <row r="86" spans="1:6" ht="26.65" customHeight="1">
      <c r="A86" s="24" t="s">
        <v>181</v>
      </c>
      <c r="B86" s="7" t="s">
        <v>135</v>
      </c>
      <c r="C86" s="11" t="s">
        <v>182</v>
      </c>
      <c r="D86" s="12">
        <v>25</v>
      </c>
      <c r="E86" s="12">
        <v>2520</v>
      </c>
      <c r="F86" s="9">
        <f>D86*E86+655</f>
        <v>63655</v>
      </c>
    </row>
    <row r="87" spans="1:6" ht="26.65" customHeight="1">
      <c r="A87" s="24" t="s">
        <v>183</v>
      </c>
      <c r="B87" s="7" t="s">
        <v>135</v>
      </c>
      <c r="C87" s="11" t="s">
        <v>184</v>
      </c>
      <c r="D87" s="12">
        <f>26-1-1</f>
        <v>24</v>
      </c>
      <c r="E87" s="12">
        <v>1320</v>
      </c>
      <c r="F87" s="9">
        <f>D87*E87</f>
        <v>31680</v>
      </c>
    </row>
    <row r="88" spans="1:6" ht="39.6" customHeight="1">
      <c r="A88" s="24" t="s">
        <v>185</v>
      </c>
      <c r="B88" s="7" t="s">
        <v>186</v>
      </c>
      <c r="C88" s="11" t="s">
        <v>187</v>
      </c>
      <c r="D88" s="12">
        <v>5</v>
      </c>
      <c r="E88" s="12">
        <v>1920</v>
      </c>
      <c r="F88" s="9">
        <f>D88*E88</f>
        <v>9600</v>
      </c>
    </row>
    <row r="89" spans="1:6" ht="45.4" customHeight="1">
      <c r="A89" s="24" t="s">
        <v>188</v>
      </c>
      <c r="B89" s="7" t="s">
        <v>186</v>
      </c>
      <c r="C89" s="11" t="s">
        <v>189</v>
      </c>
      <c r="D89" s="12">
        <v>16</v>
      </c>
      <c r="E89" s="12">
        <v>1920</v>
      </c>
      <c r="F89" s="9">
        <f>D89*E89+854+1440+1211</f>
        <v>34225</v>
      </c>
    </row>
    <row r="90" spans="1:6" ht="30.4" customHeight="1">
      <c r="A90" s="10"/>
      <c r="B90" s="7" t="s">
        <v>135</v>
      </c>
      <c r="C90" s="11" t="s">
        <v>190</v>
      </c>
      <c r="D90" s="12">
        <v>1</v>
      </c>
      <c r="E90" s="12">
        <v>444</v>
      </c>
      <c r="F90" s="9">
        <f>D90*E90</f>
        <v>444</v>
      </c>
    </row>
    <row r="91" spans="1:6" ht="26.65" customHeight="1">
      <c r="A91" s="10"/>
      <c r="B91" s="7" t="s">
        <v>135</v>
      </c>
      <c r="C91" s="11" t="s">
        <v>191</v>
      </c>
      <c r="D91" s="12">
        <v>1</v>
      </c>
      <c r="E91" s="12">
        <v>345</v>
      </c>
      <c r="F91" s="9">
        <f>D91*E91</f>
        <v>345</v>
      </c>
    </row>
    <row r="92" spans="1:6" ht="15.4" customHeight="1">
      <c r="A92" s="24" t="s">
        <v>192</v>
      </c>
      <c r="B92" s="7" t="s">
        <v>193</v>
      </c>
      <c r="C92" s="17" t="s">
        <v>194</v>
      </c>
      <c r="D92" s="12">
        <v>2</v>
      </c>
      <c r="E92" s="12">
        <v>3528</v>
      </c>
      <c r="F92" s="9">
        <f>D92*E92+2536</f>
        <v>9592</v>
      </c>
    </row>
    <row r="93" spans="1:6" ht="15.4" customHeight="1">
      <c r="A93" s="24" t="s">
        <v>195</v>
      </c>
      <c r="B93" s="7" t="s">
        <v>193</v>
      </c>
      <c r="C93" s="17" t="s">
        <v>196</v>
      </c>
      <c r="D93" s="12">
        <v>2</v>
      </c>
      <c r="E93" s="12">
        <v>3528</v>
      </c>
      <c r="F93" s="9">
        <f>D93*E93+2938</f>
        <v>9994</v>
      </c>
    </row>
    <row r="94" spans="1:6" ht="15.4" customHeight="1">
      <c r="A94" s="6" t="s">
        <v>197</v>
      </c>
      <c r="B94" s="7" t="s">
        <v>193</v>
      </c>
      <c r="C94" s="11" t="s">
        <v>198</v>
      </c>
      <c r="D94" s="19">
        <v>1</v>
      </c>
      <c r="E94" s="19">
        <v>2512</v>
      </c>
      <c r="F94" s="20">
        <f>D94*E94</f>
        <v>2512</v>
      </c>
    </row>
    <row r="95" spans="1:6" ht="15.4" customHeight="1">
      <c r="A95" s="24" t="s">
        <v>199</v>
      </c>
      <c r="B95" s="7" t="s">
        <v>200</v>
      </c>
      <c r="C95" s="11" t="s">
        <v>201</v>
      </c>
      <c r="D95" s="12">
        <v>3</v>
      </c>
      <c r="E95" s="12">
        <v>2520</v>
      </c>
      <c r="F95" s="9">
        <f>D95*E95+2486</f>
        <v>10046</v>
      </c>
    </row>
    <row r="96" spans="1:6" ht="30.4" customHeight="1">
      <c r="A96" s="24" t="s">
        <v>202</v>
      </c>
      <c r="B96" s="7" t="s">
        <v>200</v>
      </c>
      <c r="C96" s="11" t="s">
        <v>203</v>
      </c>
      <c r="D96" s="12">
        <v>1</v>
      </c>
      <c r="E96" s="12">
        <v>221</v>
      </c>
      <c r="F96" s="9">
        <f>D96*E96</f>
        <v>221</v>
      </c>
    </row>
    <row r="97" spans="1:6" ht="30.4" customHeight="1">
      <c r="A97" s="24" t="s">
        <v>204</v>
      </c>
      <c r="B97" s="7" t="s">
        <v>205</v>
      </c>
      <c r="C97" s="21" t="s">
        <v>206</v>
      </c>
      <c r="D97" s="12">
        <v>3</v>
      </c>
      <c r="E97" s="12">
        <v>1440</v>
      </c>
      <c r="F97" s="9">
        <f>D97*E97-144-(144*3)-(144*4)-(144*5)</f>
        <v>2448</v>
      </c>
    </row>
    <row r="98" spans="1:6" ht="30.4" customHeight="1">
      <c r="A98" s="24" t="s">
        <v>207</v>
      </c>
      <c r="B98" s="7" t="s">
        <v>208</v>
      </c>
      <c r="C98" s="21" t="s">
        <v>209</v>
      </c>
      <c r="D98" s="12">
        <f>14-1-1-1-1-1-1</f>
        <v>8</v>
      </c>
      <c r="E98" s="12">
        <v>2100</v>
      </c>
      <c r="F98" s="9">
        <f>D98*E98+625</f>
        <v>17425</v>
      </c>
    </row>
    <row r="99" spans="1:6" ht="45.4" customHeight="1">
      <c r="A99" s="24" t="s">
        <v>210</v>
      </c>
      <c r="B99" s="7" t="s">
        <v>208</v>
      </c>
      <c r="C99" s="21" t="s">
        <v>211</v>
      </c>
      <c r="D99" s="12">
        <v>1</v>
      </c>
      <c r="E99" s="12">
        <v>1198</v>
      </c>
      <c r="F99" s="9">
        <f>D99*E99</f>
        <v>1198</v>
      </c>
    </row>
    <row r="100" spans="1:6" ht="30.4" customHeight="1">
      <c r="A100" s="24" t="s">
        <v>212</v>
      </c>
      <c r="B100" s="7" t="s">
        <v>208</v>
      </c>
      <c r="C100" s="21" t="s">
        <v>213</v>
      </c>
      <c r="D100" s="12">
        <v>1</v>
      </c>
      <c r="E100" s="12">
        <v>983</v>
      </c>
      <c r="F100" s="9">
        <f>D100*E100</f>
        <v>983</v>
      </c>
    </row>
    <row r="101" spans="1:6" ht="30.4" customHeight="1">
      <c r="A101" s="10"/>
      <c r="B101" s="7" t="s">
        <v>214</v>
      </c>
      <c r="C101" s="32" t="s">
        <v>215</v>
      </c>
      <c r="D101" s="12">
        <v>1</v>
      </c>
      <c r="E101" s="12">
        <v>2254</v>
      </c>
      <c r="F101" s="9">
        <f>D101*E101</f>
        <v>2254</v>
      </c>
    </row>
    <row r="102" spans="1:6" ht="15.4" customHeight="1">
      <c r="A102" s="10"/>
      <c r="B102" s="7" t="s">
        <v>214</v>
      </c>
      <c r="C102" s="32" t="s">
        <v>216</v>
      </c>
      <c r="D102" s="12">
        <v>1</v>
      </c>
      <c r="E102" s="12">
        <v>1350</v>
      </c>
      <c r="F102" s="9">
        <f>D102*E102+850</f>
        <v>2200</v>
      </c>
    </row>
    <row r="103" spans="1:6" ht="15.4" customHeight="1">
      <c r="A103" s="10"/>
      <c r="B103" s="7" t="s">
        <v>214</v>
      </c>
      <c r="C103" s="32" t="s">
        <v>217</v>
      </c>
      <c r="D103" s="12">
        <v>1</v>
      </c>
      <c r="E103" s="12">
        <v>1000</v>
      </c>
      <c r="F103" s="9">
        <f>D103*E103+446</f>
        <v>1446</v>
      </c>
    </row>
    <row r="104" spans="1:6" ht="30.4" customHeight="1">
      <c r="A104" s="24" t="s">
        <v>218</v>
      </c>
      <c r="B104" s="7" t="s">
        <v>205</v>
      </c>
      <c r="C104" s="32" t="s">
        <v>219</v>
      </c>
      <c r="D104" s="12">
        <v>1</v>
      </c>
      <c r="E104" s="12">
        <v>756</v>
      </c>
      <c r="F104" s="9">
        <f>D104*E104+583</f>
        <v>1339</v>
      </c>
    </row>
    <row r="105" spans="1:6" ht="15.4" customHeight="1">
      <c r="A105" s="24" t="s">
        <v>220</v>
      </c>
      <c r="B105" s="7" t="s">
        <v>221</v>
      </c>
      <c r="C105" s="21" t="s">
        <v>222</v>
      </c>
      <c r="D105" s="12">
        <v>13</v>
      </c>
      <c r="E105" s="12">
        <v>720</v>
      </c>
      <c r="F105" s="9">
        <f>D105*E105+652</f>
        <v>10012</v>
      </c>
    </row>
    <row r="106" spans="1:6" ht="30.4" customHeight="1">
      <c r="A106" s="24" t="s">
        <v>223</v>
      </c>
      <c r="B106" s="7" t="s">
        <v>224</v>
      </c>
      <c r="C106" s="21" t="s">
        <v>225</v>
      </c>
      <c r="D106" s="12">
        <v>3</v>
      </c>
      <c r="E106" s="12">
        <v>2184</v>
      </c>
      <c r="F106" s="9">
        <f>D106*E106+1863</f>
        <v>8415</v>
      </c>
    </row>
    <row r="107" spans="1:6" ht="30.4" customHeight="1">
      <c r="A107" s="6" t="s">
        <v>226</v>
      </c>
      <c r="B107" s="33" t="s">
        <v>205</v>
      </c>
      <c r="C107" s="23" t="s">
        <v>227</v>
      </c>
      <c r="D107" s="19">
        <v>5</v>
      </c>
      <c r="E107" s="19">
        <v>2000</v>
      </c>
      <c r="F107" s="20">
        <f>D107*E107</f>
        <v>10000</v>
      </c>
    </row>
    <row r="108" spans="1:6" ht="45.4" customHeight="1">
      <c r="A108" s="6" t="s">
        <v>228</v>
      </c>
      <c r="B108" s="33" t="s">
        <v>229</v>
      </c>
      <c r="C108" s="23" t="s">
        <v>230</v>
      </c>
      <c r="D108" s="19">
        <v>1</v>
      </c>
      <c r="E108" s="19">
        <v>350</v>
      </c>
      <c r="F108" s="20">
        <f>D108*E108</f>
        <v>350</v>
      </c>
    </row>
    <row r="109" spans="1:6" ht="30.4" customHeight="1">
      <c r="A109" s="24" t="s">
        <v>231</v>
      </c>
      <c r="B109" s="7" t="s">
        <v>232</v>
      </c>
      <c r="C109" s="23" t="s">
        <v>233</v>
      </c>
      <c r="D109" s="12">
        <v>16</v>
      </c>
      <c r="E109" s="12">
        <v>2000</v>
      </c>
      <c r="F109" s="9">
        <f>D109*E109</f>
        <v>32000</v>
      </c>
    </row>
    <row r="110" spans="1:6" ht="30.4" customHeight="1">
      <c r="A110" s="24" t="s">
        <v>234</v>
      </c>
      <c r="B110" s="7" t="s">
        <v>232</v>
      </c>
      <c r="C110" s="23" t="s">
        <v>235</v>
      </c>
      <c r="D110" s="12">
        <v>15</v>
      </c>
      <c r="E110" s="12">
        <v>2000</v>
      </c>
      <c r="F110" s="9">
        <f>D110*E110+1985</f>
        <v>31985</v>
      </c>
    </row>
    <row r="111" spans="1:6" ht="45.4" customHeight="1">
      <c r="A111" s="24" t="s">
        <v>236</v>
      </c>
      <c r="B111" s="7" t="s">
        <v>232</v>
      </c>
      <c r="C111" s="23" t="s">
        <v>237</v>
      </c>
      <c r="D111" s="12">
        <v>53</v>
      </c>
      <c r="E111" s="12">
        <v>2000</v>
      </c>
      <c r="F111" s="9">
        <f>D111*E111+1470+1500+1243</f>
        <v>110213</v>
      </c>
    </row>
    <row r="112" spans="1:6" ht="30.4" customHeight="1">
      <c r="A112" s="10"/>
      <c r="B112" s="7" t="s">
        <v>232</v>
      </c>
      <c r="C112" s="23" t="s">
        <v>238</v>
      </c>
      <c r="D112" s="12">
        <v>1</v>
      </c>
      <c r="E112" s="12">
        <v>930</v>
      </c>
      <c r="F112" s="9">
        <f>D112*E112</f>
        <v>930</v>
      </c>
    </row>
    <row r="113" spans="1:6" ht="30.4" customHeight="1">
      <c r="A113" s="10"/>
      <c r="B113" s="7" t="s">
        <v>232</v>
      </c>
      <c r="C113" s="23" t="s">
        <v>239</v>
      </c>
      <c r="D113" s="12">
        <v>1</v>
      </c>
      <c r="E113" s="12">
        <v>597</v>
      </c>
      <c r="F113" s="9">
        <f>D113*E113</f>
        <v>597</v>
      </c>
    </row>
    <row r="114" spans="1:6" ht="30.4" customHeight="1">
      <c r="A114" s="24" t="s">
        <v>240</v>
      </c>
      <c r="B114" s="7" t="s">
        <v>232</v>
      </c>
      <c r="C114" s="23" t="s">
        <v>241</v>
      </c>
      <c r="D114" s="12">
        <v>11</v>
      </c>
      <c r="E114" s="12">
        <v>2000</v>
      </c>
      <c r="F114" s="9">
        <f>D114*E114+1604</f>
        <v>23604</v>
      </c>
    </row>
    <row r="115" spans="1:6" ht="15.4" customHeight="1">
      <c r="A115" s="24" t="s">
        <v>242</v>
      </c>
      <c r="B115" s="7" t="s">
        <v>176</v>
      </c>
      <c r="C115" s="11" t="s">
        <v>243</v>
      </c>
      <c r="D115" s="12">
        <v>3</v>
      </c>
      <c r="E115" s="12">
        <v>3000</v>
      </c>
      <c r="F115" s="9">
        <f>D115*E115+3497</f>
        <v>12497</v>
      </c>
    </row>
    <row r="116" spans="1:6" ht="30.4" customHeight="1">
      <c r="A116" s="24" t="s">
        <v>244</v>
      </c>
      <c r="B116" s="7" t="s">
        <v>245</v>
      </c>
      <c r="C116" s="11" t="s">
        <v>246</v>
      </c>
      <c r="D116" s="12">
        <v>16</v>
      </c>
      <c r="E116" s="12">
        <v>648</v>
      </c>
      <c r="F116" s="9">
        <f>D116*E116+(5*600)+(4*500)+203</f>
        <v>15571</v>
      </c>
    </row>
    <row r="117" spans="1:6" ht="15.4" customHeight="1">
      <c r="A117" s="24" t="s">
        <v>247</v>
      </c>
      <c r="B117" s="7" t="s">
        <v>248</v>
      </c>
      <c r="C117" s="11" t="s">
        <v>249</v>
      </c>
      <c r="D117" s="12">
        <v>1</v>
      </c>
      <c r="E117" s="12">
        <v>9000</v>
      </c>
      <c r="F117" s="9">
        <f>D117*E117+6399</f>
        <v>15399</v>
      </c>
    </row>
    <row r="118" spans="1:6" ht="15.4" customHeight="1">
      <c r="A118" s="24" t="s">
        <v>250</v>
      </c>
      <c r="B118" s="7" t="s">
        <v>251</v>
      </c>
      <c r="C118" s="21" t="s">
        <v>252</v>
      </c>
      <c r="D118" s="12">
        <v>25</v>
      </c>
      <c r="E118" s="12">
        <v>1001</v>
      </c>
      <c r="F118" s="9">
        <f>D118*E118+938</f>
        <v>25963</v>
      </c>
    </row>
    <row r="119" spans="1:6" ht="30.4" customHeight="1">
      <c r="A119" s="24" t="s">
        <v>253</v>
      </c>
      <c r="B119" s="7" t="s">
        <v>176</v>
      </c>
      <c r="C119" s="21" t="s">
        <v>254</v>
      </c>
      <c r="D119" s="12">
        <v>33</v>
      </c>
      <c r="E119" s="12">
        <v>792</v>
      </c>
      <c r="F119" s="9">
        <f>D119*E119+373</f>
        <v>26509</v>
      </c>
    </row>
    <row r="120" spans="1:6" ht="30.4" customHeight="1">
      <c r="A120" s="24" t="s">
        <v>255</v>
      </c>
      <c r="B120" s="7" t="s">
        <v>256</v>
      </c>
      <c r="C120" s="32" t="s">
        <v>257</v>
      </c>
      <c r="D120" s="12">
        <v>51</v>
      </c>
      <c r="E120" s="12">
        <v>56</v>
      </c>
      <c r="F120" s="9">
        <f>D120*E120+10</f>
        <v>2866</v>
      </c>
    </row>
    <row r="121" spans="1:6" ht="30.4" customHeight="1">
      <c r="A121" s="24" t="s">
        <v>258</v>
      </c>
      <c r="B121" s="7" t="s">
        <v>259</v>
      </c>
      <c r="C121" s="21" t="s">
        <v>260</v>
      </c>
      <c r="D121" s="12">
        <v>2</v>
      </c>
      <c r="E121" s="12">
        <v>432</v>
      </c>
      <c r="F121" s="9">
        <f>D121*E121+262+548+782+1080+1440+332</f>
        <v>5308</v>
      </c>
    </row>
    <row r="122" spans="1:6" ht="15.4" customHeight="1">
      <c r="A122" s="24" t="s">
        <v>261</v>
      </c>
      <c r="B122" s="7" t="s">
        <v>259</v>
      </c>
      <c r="C122" s="21" t="s">
        <v>262</v>
      </c>
      <c r="D122" s="12">
        <v>1</v>
      </c>
      <c r="E122" s="12">
        <v>1500</v>
      </c>
      <c r="F122" s="9">
        <f>D122*E122+1423</f>
        <v>2923</v>
      </c>
    </row>
    <row r="123" spans="1:6" ht="15.4" customHeight="1">
      <c r="A123" s="24" t="s">
        <v>263</v>
      </c>
      <c r="B123" s="7" t="s">
        <v>259</v>
      </c>
      <c r="C123" s="21" t="s">
        <v>264</v>
      </c>
      <c r="D123" s="12">
        <v>1</v>
      </c>
      <c r="E123" s="12">
        <v>2000</v>
      </c>
      <c r="F123" s="9">
        <f>D123*E123+894+928</f>
        <v>3822</v>
      </c>
    </row>
    <row r="124" spans="1:6" ht="15.4" customHeight="1">
      <c r="A124" s="6" t="s">
        <v>265</v>
      </c>
      <c r="B124" s="33" t="s">
        <v>259</v>
      </c>
      <c r="C124" s="21" t="s">
        <v>266</v>
      </c>
      <c r="D124" s="19">
        <v>2</v>
      </c>
      <c r="E124" s="19">
        <v>3000</v>
      </c>
      <c r="F124" s="20">
        <f>D124*E124</f>
        <v>6000</v>
      </c>
    </row>
    <row r="125" spans="1:6" ht="30.4" customHeight="1">
      <c r="A125" s="6" t="s">
        <v>267</v>
      </c>
      <c r="B125" s="33" t="s">
        <v>259</v>
      </c>
      <c r="C125" s="21" t="s">
        <v>268</v>
      </c>
      <c r="D125" s="19">
        <v>1</v>
      </c>
      <c r="E125" s="19">
        <v>3000</v>
      </c>
      <c r="F125" s="20">
        <f>D125*E125+2000+900</f>
        <v>5900</v>
      </c>
    </row>
    <row r="126" spans="1:6" ht="15.4" customHeight="1">
      <c r="A126" s="24" t="s">
        <v>269</v>
      </c>
      <c r="B126" s="7" t="s">
        <v>270</v>
      </c>
      <c r="C126" s="32" t="s">
        <v>271</v>
      </c>
      <c r="D126" s="12">
        <v>1</v>
      </c>
      <c r="E126" s="12">
        <v>5000</v>
      </c>
      <c r="F126" s="9">
        <f>D126*E126+5050</f>
        <v>10050</v>
      </c>
    </row>
    <row r="127" spans="1:6" ht="30.4" customHeight="1">
      <c r="A127" s="24" t="s">
        <v>272</v>
      </c>
      <c r="B127" s="7" t="s">
        <v>273</v>
      </c>
      <c r="C127" s="22" t="s">
        <v>274</v>
      </c>
      <c r="D127" s="12">
        <v>1</v>
      </c>
      <c r="E127" s="12">
        <v>1600</v>
      </c>
      <c r="F127" s="9">
        <f>D127*E127</f>
        <v>1600</v>
      </c>
    </row>
    <row r="128" spans="1:6" ht="15.4" customHeight="1">
      <c r="A128" s="24" t="s">
        <v>275</v>
      </c>
      <c r="B128" s="7" t="s">
        <v>273</v>
      </c>
      <c r="C128" s="22" t="s">
        <v>276</v>
      </c>
      <c r="D128" s="12">
        <v>1</v>
      </c>
      <c r="E128" s="12">
        <v>1610</v>
      </c>
      <c r="F128" s="9">
        <f>D128*E128</f>
        <v>1610</v>
      </c>
    </row>
    <row r="129" spans="1:6" ht="30.4" customHeight="1">
      <c r="A129" s="24" t="s">
        <v>277</v>
      </c>
      <c r="B129" s="7" t="s">
        <v>278</v>
      </c>
      <c r="C129" s="32" t="s">
        <v>279</v>
      </c>
      <c r="D129" s="12">
        <v>1</v>
      </c>
      <c r="E129" s="12">
        <v>600</v>
      </c>
      <c r="F129" s="9">
        <f>D129*E129</f>
        <v>600</v>
      </c>
    </row>
    <row r="130" spans="1:6" ht="30.4" customHeight="1">
      <c r="A130" s="24" t="s">
        <v>280</v>
      </c>
      <c r="B130" s="7" t="s">
        <v>278</v>
      </c>
      <c r="C130" s="32" t="s">
        <v>281</v>
      </c>
      <c r="D130" s="12">
        <v>30</v>
      </c>
      <c r="E130" s="12">
        <v>1200</v>
      </c>
      <c r="F130" s="9">
        <f>D130*E130+1340</f>
        <v>37340</v>
      </c>
    </row>
    <row r="131" spans="1:6" ht="15.4" customHeight="1">
      <c r="A131" s="24" t="s">
        <v>282</v>
      </c>
      <c r="B131" s="7" t="s">
        <v>278</v>
      </c>
      <c r="C131" s="32" t="s">
        <v>283</v>
      </c>
      <c r="D131" s="12">
        <v>17</v>
      </c>
      <c r="E131" s="12">
        <v>800</v>
      </c>
      <c r="F131" s="9">
        <f>D131*E131+58</f>
        <v>13658</v>
      </c>
    </row>
    <row r="132" spans="1:6" ht="30.4" customHeight="1">
      <c r="A132" s="10"/>
      <c r="B132" s="7" t="s">
        <v>278</v>
      </c>
      <c r="C132" s="32" t="s">
        <v>284</v>
      </c>
      <c r="D132" s="12">
        <v>1</v>
      </c>
      <c r="E132" s="12">
        <v>412</v>
      </c>
      <c r="F132" s="9">
        <f>D132*E132</f>
        <v>412</v>
      </c>
    </row>
    <row r="133" spans="1:6" ht="30.4" customHeight="1">
      <c r="A133" s="10"/>
      <c r="B133" s="7" t="s">
        <v>278</v>
      </c>
      <c r="C133" s="32" t="s">
        <v>285</v>
      </c>
      <c r="D133" s="12">
        <v>1</v>
      </c>
      <c r="E133" s="12">
        <v>130</v>
      </c>
      <c r="F133" s="9">
        <f>D133*E133</f>
        <v>130</v>
      </c>
    </row>
    <row r="134" spans="1:6" ht="30.4" customHeight="1">
      <c r="A134" s="24" t="s">
        <v>286</v>
      </c>
      <c r="B134" s="7" t="s">
        <v>278</v>
      </c>
      <c r="C134" s="32" t="s">
        <v>287</v>
      </c>
      <c r="D134" s="12">
        <v>1</v>
      </c>
      <c r="E134" s="12">
        <v>328</v>
      </c>
      <c r="F134" s="9">
        <f>D134*E134</f>
        <v>328</v>
      </c>
    </row>
    <row r="135" spans="1:6" ht="30.4" customHeight="1">
      <c r="A135" s="24" t="s">
        <v>288</v>
      </c>
      <c r="B135" s="7" t="s">
        <v>278</v>
      </c>
      <c r="C135" s="32" t="s">
        <v>289</v>
      </c>
      <c r="D135" s="12">
        <v>12</v>
      </c>
      <c r="E135" s="12">
        <v>920</v>
      </c>
      <c r="F135" s="9">
        <f>D135*E135+793</f>
        <v>11833</v>
      </c>
    </row>
    <row r="136" spans="1:6" ht="30.4" customHeight="1">
      <c r="A136" s="24" t="s">
        <v>290</v>
      </c>
      <c r="B136" s="7" t="s">
        <v>278</v>
      </c>
      <c r="C136" s="32" t="s">
        <v>291</v>
      </c>
      <c r="D136" s="12">
        <v>45</v>
      </c>
      <c r="E136" s="12">
        <v>800</v>
      </c>
      <c r="F136" s="9">
        <f>D136*E136+191</f>
        <v>36191</v>
      </c>
    </row>
    <row r="137" spans="1:6" ht="15.4" customHeight="1">
      <c r="A137" s="24" t="s">
        <v>292</v>
      </c>
      <c r="B137" s="7" t="s">
        <v>278</v>
      </c>
      <c r="C137" s="32" t="s">
        <v>293</v>
      </c>
      <c r="D137" s="12">
        <v>6</v>
      </c>
      <c r="E137" s="12">
        <v>750</v>
      </c>
      <c r="F137" s="9">
        <f>D137*E137</f>
        <v>4500</v>
      </c>
    </row>
    <row r="138" spans="1:6" ht="30.4" customHeight="1">
      <c r="A138" s="24" t="s">
        <v>294</v>
      </c>
      <c r="B138" s="7" t="s">
        <v>205</v>
      </c>
      <c r="C138" s="32" t="s">
        <v>295</v>
      </c>
      <c r="D138" s="12">
        <v>20</v>
      </c>
      <c r="E138" s="12">
        <v>800</v>
      </c>
      <c r="F138" s="9">
        <f>D138*E138+590</f>
        <v>16590</v>
      </c>
    </row>
    <row r="139" spans="1:6" ht="30.4" customHeight="1">
      <c r="A139" s="24" t="s">
        <v>296</v>
      </c>
      <c r="B139" s="7" t="s">
        <v>205</v>
      </c>
      <c r="C139" s="32" t="s">
        <v>297</v>
      </c>
      <c r="D139" s="12">
        <v>15</v>
      </c>
      <c r="E139" s="12">
        <v>800</v>
      </c>
      <c r="F139" s="9">
        <f>D139*E139+114</f>
        <v>12114</v>
      </c>
    </row>
    <row r="140" spans="1:6" ht="30.4" customHeight="1">
      <c r="A140" s="24" t="s">
        <v>298</v>
      </c>
      <c r="B140" s="7" t="s">
        <v>205</v>
      </c>
      <c r="C140" s="32" t="s">
        <v>299</v>
      </c>
      <c r="D140" s="12">
        <v>4</v>
      </c>
      <c r="E140" s="12">
        <v>800</v>
      </c>
      <c r="F140" s="9">
        <f>D140*E140+170</f>
        <v>3370</v>
      </c>
    </row>
    <row r="141" spans="1:6" ht="30.4" customHeight="1">
      <c r="A141" s="24" t="s">
        <v>300</v>
      </c>
      <c r="B141" s="7" t="s">
        <v>205</v>
      </c>
      <c r="C141" s="32" t="s">
        <v>301</v>
      </c>
      <c r="D141" s="12">
        <v>3</v>
      </c>
      <c r="E141" s="12">
        <v>700</v>
      </c>
      <c r="F141" s="9">
        <f>D141*E141</f>
        <v>2100</v>
      </c>
    </row>
    <row r="142" spans="1:6" ht="15.4" customHeight="1">
      <c r="A142" s="24" t="s">
        <v>302</v>
      </c>
      <c r="B142" s="7" t="s">
        <v>205</v>
      </c>
      <c r="C142" s="32" t="s">
        <v>303</v>
      </c>
      <c r="D142" s="12">
        <v>10</v>
      </c>
      <c r="E142" s="12">
        <v>800</v>
      </c>
      <c r="F142" s="9">
        <f>D142*E142+338</f>
        <v>8338</v>
      </c>
    </row>
    <row r="143" spans="1:6" ht="30.4" customHeight="1">
      <c r="A143" s="24" t="s">
        <v>304</v>
      </c>
      <c r="B143" s="7" t="s">
        <v>205</v>
      </c>
      <c r="C143" s="32" t="s">
        <v>305</v>
      </c>
      <c r="D143" s="12">
        <v>1</v>
      </c>
      <c r="E143" s="12">
        <v>800</v>
      </c>
      <c r="F143" s="9">
        <f>D143*E143+342</f>
        <v>1142</v>
      </c>
    </row>
    <row r="144" spans="1:6" ht="30.4" customHeight="1">
      <c r="A144" s="24" t="s">
        <v>306</v>
      </c>
      <c r="B144" s="7" t="s">
        <v>205</v>
      </c>
      <c r="C144" s="32" t="s">
        <v>307</v>
      </c>
      <c r="D144" s="12">
        <v>1</v>
      </c>
      <c r="E144" s="12">
        <v>655</v>
      </c>
      <c r="F144" s="9">
        <f>D144*E144</f>
        <v>655</v>
      </c>
    </row>
    <row r="145" spans="1:6" ht="30.4" customHeight="1">
      <c r="A145" s="24" t="s">
        <v>308</v>
      </c>
      <c r="B145" s="7" t="s">
        <v>205</v>
      </c>
      <c r="C145" s="32" t="s">
        <v>309</v>
      </c>
      <c r="D145" s="12">
        <v>1</v>
      </c>
      <c r="E145" s="12">
        <v>524</v>
      </c>
      <c r="F145" s="9">
        <f>D145*E145</f>
        <v>524</v>
      </c>
    </row>
    <row r="146" spans="1:6" ht="30.4" customHeight="1">
      <c r="A146" s="24" t="s">
        <v>310</v>
      </c>
      <c r="B146" s="7" t="s">
        <v>205</v>
      </c>
      <c r="C146" s="32" t="s">
        <v>311</v>
      </c>
      <c r="D146" s="12">
        <v>2</v>
      </c>
      <c r="E146" s="12">
        <v>1500</v>
      </c>
      <c r="F146" s="9">
        <f>D146*E146+746</f>
        <v>3746</v>
      </c>
    </row>
    <row r="147" spans="1:6" ht="30.4" customHeight="1">
      <c r="A147" s="24" t="s">
        <v>312</v>
      </c>
      <c r="B147" s="7" t="s">
        <v>313</v>
      </c>
      <c r="C147" s="32" t="s">
        <v>314</v>
      </c>
      <c r="D147" s="12">
        <v>31</v>
      </c>
      <c r="E147" s="12">
        <v>1200</v>
      </c>
      <c r="F147" s="9">
        <f>D147*E147+650</f>
        <v>37850</v>
      </c>
    </row>
    <row r="148" spans="1:6" ht="30.4" customHeight="1">
      <c r="A148" s="24" t="s">
        <v>315</v>
      </c>
      <c r="B148" s="7" t="s">
        <v>316</v>
      </c>
      <c r="C148" s="32" t="s">
        <v>317</v>
      </c>
      <c r="D148" s="12">
        <v>17</v>
      </c>
      <c r="E148" s="12">
        <v>5500</v>
      </c>
      <c r="F148" s="9">
        <f>D148*E148+1394+2951</f>
        <v>97845</v>
      </c>
    </row>
    <row r="149" spans="1:6" ht="30.4" customHeight="1">
      <c r="A149" s="24" t="s">
        <v>318</v>
      </c>
      <c r="B149" s="7" t="s">
        <v>316</v>
      </c>
      <c r="C149" s="32" t="s">
        <v>319</v>
      </c>
      <c r="D149" s="12">
        <v>13</v>
      </c>
      <c r="E149" s="12">
        <v>5500</v>
      </c>
      <c r="F149" s="9">
        <f>D149*E149+3158</f>
        <v>74658</v>
      </c>
    </row>
    <row r="150" spans="1:6" ht="30.4" customHeight="1">
      <c r="A150" s="24" t="s">
        <v>320</v>
      </c>
      <c r="B150" s="7" t="s">
        <v>321</v>
      </c>
      <c r="C150" s="32" t="s">
        <v>322</v>
      </c>
      <c r="D150" s="12">
        <v>1</v>
      </c>
      <c r="E150" s="12">
        <v>573</v>
      </c>
      <c r="F150" s="9">
        <f>D150*E150</f>
        <v>573</v>
      </c>
    </row>
    <row r="151" spans="1:6" ht="15.4" customHeight="1">
      <c r="A151" s="24" t="s">
        <v>323</v>
      </c>
      <c r="B151" s="7" t="s">
        <v>321</v>
      </c>
      <c r="C151" s="32" t="s">
        <v>324</v>
      </c>
      <c r="D151" s="12">
        <v>24</v>
      </c>
      <c r="E151" s="12">
        <v>2200</v>
      </c>
      <c r="F151" s="9">
        <f>D151*E151+1592</f>
        <v>54392</v>
      </c>
    </row>
    <row r="152" spans="1:6" ht="15.4" customHeight="1">
      <c r="A152" s="24" t="s">
        <v>325</v>
      </c>
      <c r="B152" s="7" t="s">
        <v>321</v>
      </c>
      <c r="C152" s="32" t="s">
        <v>326</v>
      </c>
      <c r="D152" s="12">
        <v>7</v>
      </c>
      <c r="E152" s="12">
        <v>1600</v>
      </c>
      <c r="F152" s="9">
        <f>D152*E152+1071</f>
        <v>12271</v>
      </c>
    </row>
    <row r="153" spans="1:6" ht="15.4" customHeight="1">
      <c r="A153" s="24" t="s">
        <v>327</v>
      </c>
      <c r="B153" s="7" t="s">
        <v>321</v>
      </c>
      <c r="C153" s="32" t="s">
        <v>328</v>
      </c>
      <c r="D153" s="12">
        <v>1</v>
      </c>
      <c r="E153" s="12">
        <v>1600</v>
      </c>
      <c r="F153" s="9">
        <f>D153*E153+1100</f>
        <v>2700</v>
      </c>
    </row>
    <row r="154" spans="1:6" ht="15.4" customHeight="1">
      <c r="A154" s="24" t="s">
        <v>329</v>
      </c>
      <c r="B154" s="7" t="s">
        <v>330</v>
      </c>
      <c r="C154" s="21" t="s">
        <v>331</v>
      </c>
      <c r="D154" s="12">
        <v>20</v>
      </c>
      <c r="E154" s="12">
        <v>600</v>
      </c>
      <c r="F154" s="9">
        <f>D154*E154+148</f>
        <v>12148</v>
      </c>
    </row>
    <row r="155" spans="1:6" ht="15.4" customHeight="1">
      <c r="A155" s="24" t="s">
        <v>332</v>
      </c>
      <c r="B155" s="7" t="s">
        <v>330</v>
      </c>
      <c r="C155" s="21" t="s">
        <v>333</v>
      </c>
      <c r="D155" s="12">
        <v>23</v>
      </c>
      <c r="E155" s="12">
        <v>600</v>
      </c>
      <c r="F155" s="9">
        <f>D155*E155+120</f>
        <v>13920</v>
      </c>
    </row>
    <row r="156" spans="1:6" ht="30.4" customHeight="1">
      <c r="A156" s="10"/>
      <c r="B156" s="7" t="s">
        <v>330</v>
      </c>
      <c r="C156" s="21" t="s">
        <v>334</v>
      </c>
      <c r="D156" s="12">
        <v>1</v>
      </c>
      <c r="E156" s="12">
        <v>600</v>
      </c>
      <c r="F156" s="9">
        <f>D156*E156</f>
        <v>600</v>
      </c>
    </row>
    <row r="157" spans="1:6" ht="30.4" customHeight="1">
      <c r="A157" s="24" t="s">
        <v>335</v>
      </c>
      <c r="B157" s="7" t="s">
        <v>330</v>
      </c>
      <c r="C157" s="21" t="s">
        <v>336</v>
      </c>
      <c r="D157" s="12">
        <v>13</v>
      </c>
      <c r="E157" s="12">
        <v>900</v>
      </c>
      <c r="F157" s="9">
        <f>D157*E157+206</f>
        <v>11906</v>
      </c>
    </row>
    <row r="158" spans="1:6" ht="30.4" customHeight="1">
      <c r="A158" s="10"/>
      <c r="B158" s="7" t="s">
        <v>330</v>
      </c>
      <c r="C158" s="21" t="s">
        <v>337</v>
      </c>
      <c r="D158" s="12">
        <v>2</v>
      </c>
      <c r="E158" s="12">
        <v>900</v>
      </c>
      <c r="F158" s="9">
        <f>D158*E158</f>
        <v>1800</v>
      </c>
    </row>
    <row r="159" spans="1:6" ht="15.4" customHeight="1">
      <c r="A159" s="24" t="s">
        <v>338</v>
      </c>
      <c r="B159" s="7" t="s">
        <v>330</v>
      </c>
      <c r="C159" s="21" t="s">
        <v>339</v>
      </c>
      <c r="D159" s="12">
        <f>71-2-2</f>
        <v>67</v>
      </c>
      <c r="E159" s="12">
        <v>1000</v>
      </c>
      <c r="F159" s="9">
        <f>D159*E159</f>
        <v>67000</v>
      </c>
    </row>
    <row r="160" spans="1:6" ht="15.4" customHeight="1">
      <c r="A160" s="24" t="s">
        <v>340</v>
      </c>
      <c r="B160" s="7" t="s">
        <v>330</v>
      </c>
      <c r="C160" s="21" t="s">
        <v>341</v>
      </c>
      <c r="D160" s="12">
        <f>57-2-2</f>
        <v>53</v>
      </c>
      <c r="E160" s="12">
        <v>1400</v>
      </c>
      <c r="F160" s="9">
        <f>D160*E160+1000+220+1370+800</f>
        <v>77590</v>
      </c>
    </row>
    <row r="161" spans="1:6" ht="15.4" customHeight="1">
      <c r="A161" s="24" t="s">
        <v>342</v>
      </c>
      <c r="B161" s="7" t="s">
        <v>330</v>
      </c>
      <c r="C161" s="21" t="s">
        <v>343</v>
      </c>
      <c r="D161" s="12">
        <v>11</v>
      </c>
      <c r="E161" s="12">
        <v>1700</v>
      </c>
      <c r="F161" s="9">
        <f>D161*E161+(10*2000)+729</f>
        <v>39429</v>
      </c>
    </row>
    <row r="162" spans="1:6" ht="15.4" customHeight="1">
      <c r="A162" s="24" t="s">
        <v>344</v>
      </c>
      <c r="B162" s="7" t="s">
        <v>330</v>
      </c>
      <c r="C162" s="21" t="s">
        <v>345</v>
      </c>
      <c r="D162" s="12">
        <f>22-1+1</f>
        <v>22</v>
      </c>
      <c r="E162" s="12">
        <v>2000</v>
      </c>
      <c r="F162" s="9">
        <f>D162*E162+(2*1600)+1922</f>
        <v>49122</v>
      </c>
    </row>
    <row r="163" spans="1:6" ht="30.4" customHeight="1">
      <c r="A163" s="24" t="s">
        <v>346</v>
      </c>
      <c r="B163" s="7" t="s">
        <v>330</v>
      </c>
      <c r="C163" s="21" t="s">
        <v>347</v>
      </c>
      <c r="D163" s="12">
        <v>1</v>
      </c>
      <c r="E163" s="12">
        <v>3695</v>
      </c>
      <c r="F163" s="9">
        <f>D163*E163</f>
        <v>3695</v>
      </c>
    </row>
    <row r="164" spans="1:6" ht="15.4" customHeight="1">
      <c r="A164" s="24" t="s">
        <v>348</v>
      </c>
      <c r="B164" s="7" t="s">
        <v>330</v>
      </c>
      <c r="C164" s="21" t="s">
        <v>349</v>
      </c>
      <c r="D164" s="12">
        <v>3</v>
      </c>
      <c r="E164" s="12">
        <v>1700</v>
      </c>
      <c r="F164" s="9">
        <f>D164*E164+474</f>
        <v>5574</v>
      </c>
    </row>
    <row r="165" spans="1:6" ht="15.4" customHeight="1">
      <c r="A165" s="24" t="s">
        <v>350</v>
      </c>
      <c r="B165" s="7" t="s">
        <v>330</v>
      </c>
      <c r="C165" s="21" t="s">
        <v>351</v>
      </c>
      <c r="D165" s="12">
        <f>125-6</f>
        <v>119</v>
      </c>
      <c r="E165" s="12">
        <v>300</v>
      </c>
      <c r="F165" s="9">
        <f>D165*E165+270+226+178+428</f>
        <v>36802</v>
      </c>
    </row>
    <row r="166" spans="1:6" ht="30.4" customHeight="1">
      <c r="A166" s="24" t="s">
        <v>352</v>
      </c>
      <c r="B166" s="7" t="s">
        <v>330</v>
      </c>
      <c r="C166" s="21" t="s">
        <v>353</v>
      </c>
      <c r="D166" s="12">
        <f>113-6</f>
        <v>107</v>
      </c>
      <c r="E166" s="12">
        <v>300</v>
      </c>
      <c r="F166" s="9">
        <f>D166*E166</f>
        <v>32100</v>
      </c>
    </row>
    <row r="167" spans="1:6" ht="30.4" customHeight="1">
      <c r="A167" s="24" t="s">
        <v>354</v>
      </c>
      <c r="B167" s="7" t="s">
        <v>330</v>
      </c>
      <c r="C167" s="21" t="s">
        <v>355</v>
      </c>
      <c r="D167" s="12">
        <v>12</v>
      </c>
      <c r="E167" s="12">
        <v>3586</v>
      </c>
      <c r="F167" s="9">
        <f>D167*E167+2500</f>
        <v>45532</v>
      </c>
    </row>
    <row r="168" spans="1:6" ht="30.4" customHeight="1">
      <c r="A168" s="24" t="s">
        <v>356</v>
      </c>
      <c r="B168" s="7" t="s">
        <v>330</v>
      </c>
      <c r="C168" s="21" t="s">
        <v>357</v>
      </c>
      <c r="D168" s="12">
        <v>10</v>
      </c>
      <c r="E168" s="12">
        <v>4200</v>
      </c>
      <c r="F168" s="9">
        <f>D168*E168+1478</f>
        <v>43478</v>
      </c>
    </row>
    <row r="169" spans="1:6" ht="30.4" customHeight="1">
      <c r="A169" s="24" t="s">
        <v>358</v>
      </c>
      <c r="B169" s="7" t="s">
        <v>330</v>
      </c>
      <c r="C169" s="21" t="s">
        <v>359</v>
      </c>
      <c r="D169" s="12">
        <v>1</v>
      </c>
      <c r="E169" s="12">
        <v>2200</v>
      </c>
      <c r="F169" s="9">
        <f>D169*E169+3487</f>
        <v>5687</v>
      </c>
    </row>
    <row r="170" spans="1:6" ht="30.4" customHeight="1">
      <c r="A170" s="10"/>
      <c r="B170" s="7" t="s">
        <v>330</v>
      </c>
      <c r="C170" s="21" t="s">
        <v>360</v>
      </c>
      <c r="D170" s="12">
        <v>3</v>
      </c>
      <c r="E170" s="12">
        <v>1100</v>
      </c>
      <c r="F170" s="9">
        <f>D170*E170</f>
        <v>3300</v>
      </c>
    </row>
    <row r="171" spans="1:6" ht="30.4" customHeight="1">
      <c r="A171" s="24" t="s">
        <v>361</v>
      </c>
      <c r="B171" s="7" t="s">
        <v>330</v>
      </c>
      <c r="C171" s="21" t="s">
        <v>362</v>
      </c>
      <c r="D171" s="12">
        <v>3</v>
      </c>
      <c r="E171" s="12">
        <v>1100</v>
      </c>
      <c r="F171" s="9">
        <f>D171*E171+1092+1350</f>
        <v>5742</v>
      </c>
    </row>
    <row r="172" spans="1:6" ht="30.4" customHeight="1">
      <c r="A172" s="10"/>
      <c r="B172" s="7" t="s">
        <v>330</v>
      </c>
      <c r="C172" s="21" t="s">
        <v>363</v>
      </c>
      <c r="D172" s="12">
        <v>1</v>
      </c>
      <c r="E172" s="12">
        <v>740</v>
      </c>
      <c r="F172" s="9">
        <f>D172*E172</f>
        <v>740</v>
      </c>
    </row>
    <row r="173" spans="1:6" ht="30.4" customHeight="1">
      <c r="A173" s="24" t="s">
        <v>364</v>
      </c>
      <c r="B173" s="7" t="s">
        <v>365</v>
      </c>
      <c r="C173" s="32" t="s">
        <v>366</v>
      </c>
      <c r="D173" s="12">
        <v>10</v>
      </c>
      <c r="E173" s="12">
        <v>300</v>
      </c>
      <c r="F173" s="9">
        <f>D173*E173</f>
        <v>3000</v>
      </c>
    </row>
    <row r="174" spans="1:6" ht="30.4" customHeight="1">
      <c r="A174" s="24" t="s">
        <v>367</v>
      </c>
      <c r="B174" s="7" t="s">
        <v>365</v>
      </c>
      <c r="C174" s="32" t="s">
        <v>368</v>
      </c>
      <c r="D174" s="12">
        <v>1</v>
      </c>
      <c r="E174" s="12">
        <v>400</v>
      </c>
      <c r="F174" s="9">
        <f>D174*E174+300</f>
        <v>700</v>
      </c>
    </row>
    <row r="175" spans="1:6" ht="30.4" customHeight="1">
      <c r="A175" s="24" t="s">
        <v>369</v>
      </c>
      <c r="B175" s="7" t="s">
        <v>365</v>
      </c>
      <c r="C175" s="32" t="s">
        <v>370</v>
      </c>
      <c r="D175" s="12">
        <v>1</v>
      </c>
      <c r="E175" s="12">
        <v>1000</v>
      </c>
      <c r="F175" s="9">
        <f>D175*E175+800</f>
        <v>1800</v>
      </c>
    </row>
    <row r="176" spans="1:6" ht="30.4" customHeight="1">
      <c r="A176" s="24" t="s">
        <v>371</v>
      </c>
      <c r="B176" s="7" t="s">
        <v>365</v>
      </c>
      <c r="C176" s="32" t="s">
        <v>372</v>
      </c>
      <c r="D176" s="12">
        <v>10</v>
      </c>
      <c r="E176" s="12">
        <v>300</v>
      </c>
      <c r="F176" s="9">
        <f>D176*E176+200</f>
        <v>3200</v>
      </c>
    </row>
    <row r="177" spans="1:6" ht="30.4" customHeight="1">
      <c r="A177" s="24" t="s">
        <v>373</v>
      </c>
      <c r="B177" s="7" t="s">
        <v>365</v>
      </c>
      <c r="C177" s="32" t="s">
        <v>374</v>
      </c>
      <c r="D177" s="12">
        <v>2</v>
      </c>
      <c r="E177" s="12">
        <v>2000</v>
      </c>
      <c r="F177" s="9">
        <f>D177*E177+1200</f>
        <v>5200</v>
      </c>
    </row>
    <row r="178" spans="1:6" ht="15.4" customHeight="1">
      <c r="A178" s="24" t="s">
        <v>375</v>
      </c>
      <c r="B178" s="7" t="s">
        <v>376</v>
      </c>
      <c r="C178" s="32" t="s">
        <v>377</v>
      </c>
      <c r="D178" s="12">
        <v>12</v>
      </c>
      <c r="E178" s="12">
        <v>2000</v>
      </c>
      <c r="F178" s="9">
        <f>D178*E178+1843</f>
        <v>25843</v>
      </c>
    </row>
    <row r="179" spans="1:6" ht="15.4" customHeight="1">
      <c r="A179" s="24" t="s">
        <v>378</v>
      </c>
      <c r="B179" s="7" t="s">
        <v>150</v>
      </c>
      <c r="C179" s="32" t="s">
        <v>379</v>
      </c>
      <c r="D179" s="12">
        <v>17</v>
      </c>
      <c r="E179" s="12">
        <v>1000</v>
      </c>
      <c r="F179" s="9">
        <f>D179*E179</f>
        <v>17000</v>
      </c>
    </row>
    <row r="180" spans="1:6" ht="15.4" customHeight="1">
      <c r="A180" s="24" t="s">
        <v>380</v>
      </c>
      <c r="B180" s="7" t="s">
        <v>150</v>
      </c>
      <c r="C180" s="32" t="s">
        <v>381</v>
      </c>
      <c r="D180" s="12">
        <v>19</v>
      </c>
      <c r="E180" s="12">
        <v>700</v>
      </c>
      <c r="F180" s="9">
        <f>D180*E180+313</f>
        <v>13613</v>
      </c>
    </row>
    <row r="181" spans="1:6" ht="30.4" customHeight="1">
      <c r="A181" s="24" t="s">
        <v>382</v>
      </c>
      <c r="B181" s="7" t="s">
        <v>150</v>
      </c>
      <c r="C181" s="32" t="s">
        <v>383</v>
      </c>
      <c r="D181" s="12">
        <v>3</v>
      </c>
      <c r="E181" s="12">
        <v>700</v>
      </c>
      <c r="F181" s="9">
        <f>D181*E181+346</f>
        <v>2446</v>
      </c>
    </row>
    <row r="182" spans="1:6" ht="15.4" customHeight="1">
      <c r="A182" s="24" t="s">
        <v>384</v>
      </c>
      <c r="B182" s="7" t="s">
        <v>150</v>
      </c>
      <c r="C182" s="32" t="s">
        <v>385</v>
      </c>
      <c r="D182" s="12">
        <v>2</v>
      </c>
      <c r="E182" s="12">
        <v>1000</v>
      </c>
      <c r="F182" s="9">
        <f>D182*E182+886</f>
        <v>2886</v>
      </c>
    </row>
    <row r="183" spans="1:6" ht="30.4" customHeight="1">
      <c r="A183" s="24" t="s">
        <v>386</v>
      </c>
      <c r="B183" s="7" t="s">
        <v>150</v>
      </c>
      <c r="C183" s="32" t="s">
        <v>387</v>
      </c>
      <c r="D183" s="12">
        <v>1</v>
      </c>
      <c r="E183" s="12">
        <v>470</v>
      </c>
      <c r="F183" s="9">
        <f>D183*E183+359</f>
        <v>829</v>
      </c>
    </row>
    <row r="184" spans="1:6" ht="15.4" customHeight="1">
      <c r="A184" s="6" t="s">
        <v>388</v>
      </c>
      <c r="B184" s="33" t="s">
        <v>150</v>
      </c>
      <c r="C184" s="34" t="s">
        <v>389</v>
      </c>
      <c r="D184" s="19">
        <v>1</v>
      </c>
      <c r="E184" s="19">
        <v>830</v>
      </c>
      <c r="F184" s="20">
        <f>D184*E184</f>
        <v>830</v>
      </c>
    </row>
    <row r="185" spans="1:6" ht="30.4" customHeight="1">
      <c r="A185" s="24" t="s">
        <v>390</v>
      </c>
      <c r="B185" s="7" t="s">
        <v>391</v>
      </c>
      <c r="C185" s="32" t="s">
        <v>392</v>
      </c>
      <c r="D185" s="12">
        <v>3</v>
      </c>
      <c r="E185" s="12">
        <v>2000</v>
      </c>
      <c r="F185" s="9">
        <f>D185*E185+463</f>
        <v>6463</v>
      </c>
    </row>
    <row r="186" spans="1:6" ht="30.4" customHeight="1">
      <c r="A186" s="24" t="s">
        <v>393</v>
      </c>
      <c r="B186" s="7" t="s">
        <v>391</v>
      </c>
      <c r="C186" s="32" t="s">
        <v>394</v>
      </c>
      <c r="D186" s="12">
        <v>4</v>
      </c>
      <c r="E186" s="12">
        <v>2000</v>
      </c>
      <c r="F186" s="9">
        <f>D186*E186+600</f>
        <v>8600</v>
      </c>
    </row>
    <row r="187" spans="1:6" ht="30.4" customHeight="1">
      <c r="A187" s="24" t="s">
        <v>395</v>
      </c>
      <c r="B187" s="7" t="s">
        <v>391</v>
      </c>
      <c r="C187" s="32" t="s">
        <v>396</v>
      </c>
      <c r="D187" s="12">
        <v>1</v>
      </c>
      <c r="E187" s="12">
        <v>1710</v>
      </c>
      <c r="F187" s="9">
        <f>D187*E187</f>
        <v>1710</v>
      </c>
    </row>
    <row r="188" spans="1:6" ht="30.4" customHeight="1">
      <c r="A188" s="24" t="s">
        <v>397</v>
      </c>
      <c r="B188" s="7" t="s">
        <v>391</v>
      </c>
      <c r="C188" s="32" t="s">
        <v>398</v>
      </c>
      <c r="D188" s="12">
        <v>1</v>
      </c>
      <c r="E188" s="12">
        <v>2545</v>
      </c>
      <c r="F188" s="9">
        <f>D188*E188</f>
        <v>2545</v>
      </c>
    </row>
    <row r="189" spans="1:6" ht="30.4" customHeight="1">
      <c r="A189" s="6" t="s">
        <v>399</v>
      </c>
      <c r="B189" s="33" t="s">
        <v>391</v>
      </c>
      <c r="C189" s="34" t="s">
        <v>400</v>
      </c>
      <c r="D189" s="19">
        <v>1</v>
      </c>
      <c r="E189" s="19">
        <v>2050</v>
      </c>
      <c r="F189" s="20">
        <f>D189*E189+960</f>
        <v>3010</v>
      </c>
    </row>
    <row r="190" spans="1:6" ht="15.4" customHeight="1">
      <c r="A190" s="24" t="s">
        <v>401</v>
      </c>
      <c r="B190" s="7" t="s">
        <v>176</v>
      </c>
      <c r="C190" s="32" t="s">
        <v>402</v>
      </c>
      <c r="D190" s="12">
        <v>13</v>
      </c>
      <c r="E190" s="12">
        <v>1000</v>
      </c>
      <c r="F190" s="9">
        <f>D190*E190+849</f>
        <v>13849</v>
      </c>
    </row>
    <row r="191" spans="1:6" ht="30.4" customHeight="1">
      <c r="A191" s="10"/>
      <c r="B191" s="7" t="s">
        <v>176</v>
      </c>
      <c r="C191" s="32" t="s">
        <v>403</v>
      </c>
      <c r="D191" s="12">
        <v>1</v>
      </c>
      <c r="E191" s="12">
        <v>340</v>
      </c>
      <c r="F191" s="9">
        <f>D191*E191</f>
        <v>340</v>
      </c>
    </row>
    <row r="192" spans="1:6" ht="15.4" customHeight="1">
      <c r="A192" s="24" t="s">
        <v>404</v>
      </c>
      <c r="B192" s="7" t="s">
        <v>176</v>
      </c>
      <c r="C192" s="32" t="s">
        <v>405</v>
      </c>
      <c r="D192" s="12">
        <v>1</v>
      </c>
      <c r="E192" s="12">
        <v>1600</v>
      </c>
      <c r="F192" s="9">
        <f>D192*E192+1340</f>
        <v>2940</v>
      </c>
    </row>
    <row r="193" spans="1:6" ht="30.4" customHeight="1">
      <c r="A193" s="24" t="s">
        <v>406</v>
      </c>
      <c r="B193" s="7" t="s">
        <v>407</v>
      </c>
      <c r="C193" s="32" t="s">
        <v>408</v>
      </c>
      <c r="D193" s="12">
        <v>2</v>
      </c>
      <c r="E193" s="12">
        <v>1000</v>
      </c>
      <c r="F193" s="9">
        <f>D193*E193</f>
        <v>2000</v>
      </c>
    </row>
    <row r="194" spans="1:6" ht="15.4" customHeight="1">
      <c r="A194" s="6" t="s">
        <v>409</v>
      </c>
      <c r="B194" s="33" t="s">
        <v>407</v>
      </c>
      <c r="C194" s="34" t="s">
        <v>410</v>
      </c>
      <c r="D194" s="19">
        <v>1</v>
      </c>
      <c r="E194" s="19">
        <v>485</v>
      </c>
      <c r="F194" s="20">
        <f>D194*E194</f>
        <v>485</v>
      </c>
    </row>
    <row r="195" spans="1:6" ht="13.5" customHeight="1">
      <c r="A195" s="35"/>
      <c r="B195" s="36"/>
      <c r="C195" s="37"/>
      <c r="D195" s="38"/>
      <c r="E195" s="38"/>
      <c r="F195" s="38"/>
    </row>
    <row r="196" spans="1:6" ht="15.4" customHeight="1">
      <c r="A196" s="6" t="s">
        <v>411</v>
      </c>
      <c r="B196" s="33" t="s">
        <v>176</v>
      </c>
      <c r="C196" s="34" t="s">
        <v>412</v>
      </c>
      <c r="D196" s="19">
        <v>1</v>
      </c>
      <c r="E196" s="19">
        <v>505</v>
      </c>
      <c r="F196" s="20">
        <f>D196*E196</f>
        <v>505</v>
      </c>
    </row>
    <row r="197" spans="1:6" ht="15.4" customHeight="1">
      <c r="A197" s="6" t="s">
        <v>413</v>
      </c>
      <c r="B197" s="33" t="s">
        <v>200</v>
      </c>
      <c r="C197" s="34" t="s">
        <v>414</v>
      </c>
      <c r="D197" s="19">
        <v>1</v>
      </c>
      <c r="E197" s="19">
        <v>830</v>
      </c>
      <c r="F197" s="20">
        <f>D197*E197</f>
        <v>830</v>
      </c>
    </row>
    <row r="198" spans="1:6" ht="15.4" customHeight="1">
      <c r="A198" s="24" t="s">
        <v>415</v>
      </c>
      <c r="B198" s="7" t="s">
        <v>416</v>
      </c>
      <c r="C198" s="32" t="s">
        <v>417</v>
      </c>
      <c r="D198" s="12">
        <v>1</v>
      </c>
      <c r="E198" s="12">
        <v>60000</v>
      </c>
      <c r="F198" s="9">
        <f>D198*E198+37800+2590</f>
        <v>100390</v>
      </c>
    </row>
    <row r="199" spans="1:6" ht="15.4" customHeight="1">
      <c r="A199" s="24" t="s">
        <v>418</v>
      </c>
      <c r="B199" s="7" t="s">
        <v>416</v>
      </c>
      <c r="C199" s="32" t="s">
        <v>419</v>
      </c>
      <c r="D199" s="12">
        <v>3</v>
      </c>
      <c r="E199" s="12">
        <v>2000</v>
      </c>
      <c r="F199" s="9">
        <f>D199*E199+2590</f>
        <v>8590</v>
      </c>
    </row>
    <row r="200" spans="1:6" ht="15.4" customHeight="1">
      <c r="A200" s="24" t="s">
        <v>420</v>
      </c>
      <c r="B200" s="7" t="s">
        <v>416</v>
      </c>
      <c r="C200" s="32" t="s">
        <v>421</v>
      </c>
      <c r="D200" s="12">
        <v>1</v>
      </c>
      <c r="E200" s="12">
        <v>39450</v>
      </c>
      <c r="F200" s="9">
        <f>D200*E200</f>
        <v>39450</v>
      </c>
    </row>
    <row r="201" spans="1:6" ht="15.4" customHeight="1">
      <c r="A201" s="24" t="s">
        <v>422</v>
      </c>
      <c r="B201" s="7" t="s">
        <v>416</v>
      </c>
      <c r="C201" s="32" t="s">
        <v>423</v>
      </c>
      <c r="D201" s="12">
        <v>1</v>
      </c>
      <c r="E201" s="12">
        <v>2538</v>
      </c>
      <c r="F201" s="9">
        <f>D201*E201</f>
        <v>2538</v>
      </c>
    </row>
    <row r="202" spans="1:6" ht="15.4" customHeight="1">
      <c r="A202" s="24" t="s">
        <v>424</v>
      </c>
      <c r="B202" s="7" t="s">
        <v>416</v>
      </c>
      <c r="C202" s="32" t="s">
        <v>425</v>
      </c>
      <c r="D202" s="12">
        <v>1</v>
      </c>
      <c r="E202" s="12">
        <v>2140</v>
      </c>
      <c r="F202" s="9">
        <f>D202*E202</f>
        <v>2140</v>
      </c>
    </row>
    <row r="203" spans="1:6" ht="15.4" customHeight="1">
      <c r="A203" s="24" t="s">
        <v>426</v>
      </c>
      <c r="B203" s="7" t="s">
        <v>416</v>
      </c>
      <c r="C203" s="32" t="s">
        <v>427</v>
      </c>
      <c r="D203" s="12">
        <v>1</v>
      </c>
      <c r="E203" s="12">
        <v>1117</v>
      </c>
      <c r="F203" s="9">
        <f>D203*E203</f>
        <v>1117</v>
      </c>
    </row>
    <row r="204" spans="1:6" ht="15.4" customHeight="1">
      <c r="A204" s="24" t="s">
        <v>428</v>
      </c>
      <c r="B204" s="7" t="s">
        <v>416</v>
      </c>
      <c r="C204" s="32" t="s">
        <v>429</v>
      </c>
      <c r="D204" s="12">
        <v>1</v>
      </c>
      <c r="E204" s="12">
        <v>1670</v>
      </c>
      <c r="F204" s="9">
        <f>D204*E204</f>
        <v>1670</v>
      </c>
    </row>
    <row r="205" spans="1:6" ht="15.4" customHeight="1">
      <c r="A205" s="24" t="s">
        <v>430</v>
      </c>
      <c r="B205" s="7" t="s">
        <v>416</v>
      </c>
      <c r="C205" s="32" t="s">
        <v>431</v>
      </c>
      <c r="D205" s="12">
        <v>1</v>
      </c>
      <c r="E205" s="12">
        <v>20000</v>
      </c>
      <c r="F205" s="9">
        <f>D205*E205+7710+1538</f>
        <v>29248</v>
      </c>
    </row>
    <row r="206" spans="1:6" ht="15.4" customHeight="1">
      <c r="A206" s="10"/>
      <c r="B206" s="7" t="s">
        <v>416</v>
      </c>
      <c r="C206" s="32" t="s">
        <v>432</v>
      </c>
      <c r="D206" s="12">
        <v>1</v>
      </c>
      <c r="E206" s="12">
        <v>265</v>
      </c>
      <c r="F206" s="9">
        <f>D206*E206</f>
        <v>265</v>
      </c>
    </row>
    <row r="207" spans="1:6" ht="15.4" customHeight="1">
      <c r="A207" s="10"/>
      <c r="B207" s="7" t="s">
        <v>416</v>
      </c>
      <c r="C207" s="32" t="s">
        <v>433</v>
      </c>
      <c r="D207" s="12">
        <v>1</v>
      </c>
      <c r="E207" s="12">
        <v>339</v>
      </c>
      <c r="F207" s="9">
        <f>D207*E207</f>
        <v>339</v>
      </c>
    </row>
    <row r="208" spans="1:6" ht="15.4" customHeight="1">
      <c r="A208" s="10"/>
      <c r="B208" s="7" t="s">
        <v>407</v>
      </c>
      <c r="C208" s="32" t="s">
        <v>434</v>
      </c>
      <c r="D208" s="12">
        <v>1</v>
      </c>
      <c r="E208" s="12">
        <v>1829</v>
      </c>
      <c r="F208" s="9">
        <f>D208*E208</f>
        <v>1829</v>
      </c>
    </row>
    <row r="209" spans="1:6" ht="30.4" customHeight="1">
      <c r="A209" s="24" t="s">
        <v>435</v>
      </c>
      <c r="B209" s="7" t="s">
        <v>436</v>
      </c>
      <c r="C209" s="17" t="s">
        <v>437</v>
      </c>
      <c r="D209" s="12">
        <v>7</v>
      </c>
      <c r="E209" s="12">
        <v>300</v>
      </c>
      <c r="F209" s="9">
        <f>D209*E209+228</f>
        <v>2328</v>
      </c>
    </row>
    <row r="210" spans="1:6" ht="30.4" customHeight="1">
      <c r="A210" s="24" t="s">
        <v>438</v>
      </c>
      <c r="B210" s="7" t="s">
        <v>436</v>
      </c>
      <c r="C210" s="17" t="s">
        <v>439</v>
      </c>
      <c r="D210" s="12">
        <v>6</v>
      </c>
      <c r="E210" s="12">
        <v>600</v>
      </c>
      <c r="F210" s="9">
        <f>D210*E210+190</f>
        <v>3790</v>
      </c>
    </row>
    <row r="211" spans="1:6" ht="30.4" customHeight="1">
      <c r="A211" s="24" t="s">
        <v>440</v>
      </c>
      <c r="B211" s="7" t="s">
        <v>436</v>
      </c>
      <c r="C211" s="17" t="s">
        <v>441</v>
      </c>
      <c r="D211" s="12">
        <v>1</v>
      </c>
      <c r="E211" s="12">
        <v>100</v>
      </c>
      <c r="F211" s="9">
        <f>D211*E211</f>
        <v>100</v>
      </c>
    </row>
    <row r="212" spans="1:6" ht="30.4" customHeight="1">
      <c r="A212" s="24" t="s">
        <v>442</v>
      </c>
      <c r="B212" s="7" t="s">
        <v>443</v>
      </c>
      <c r="C212" s="17" t="s">
        <v>444</v>
      </c>
      <c r="D212" s="12">
        <v>3</v>
      </c>
      <c r="E212" s="12">
        <v>1600</v>
      </c>
      <c r="F212" s="9">
        <f>D212*E212+1000</f>
        <v>5800</v>
      </c>
    </row>
    <row r="213" spans="1:6" ht="30.4" customHeight="1">
      <c r="A213" s="24" t="s">
        <v>445</v>
      </c>
      <c r="B213" s="7" t="s">
        <v>3</v>
      </c>
      <c r="C213" s="17" t="s">
        <v>446</v>
      </c>
      <c r="D213" s="12">
        <v>13</v>
      </c>
      <c r="E213" s="12">
        <v>500</v>
      </c>
      <c r="F213" s="9">
        <f>D213*E213</f>
        <v>6500</v>
      </c>
    </row>
    <row r="214" spans="1:6" ht="15.4" customHeight="1">
      <c r="A214" s="24" t="s">
        <v>447</v>
      </c>
      <c r="B214" s="7" t="s">
        <v>407</v>
      </c>
      <c r="C214" s="32" t="s">
        <v>448</v>
      </c>
      <c r="D214" s="12">
        <v>1</v>
      </c>
      <c r="E214" s="12">
        <v>3000</v>
      </c>
      <c r="F214" s="9">
        <f>D214*E214+1936</f>
        <v>4936</v>
      </c>
    </row>
    <row r="215" spans="1:6" ht="15.4" customHeight="1">
      <c r="A215" s="24" t="s">
        <v>449</v>
      </c>
      <c r="B215" s="7" t="s">
        <v>450</v>
      </c>
      <c r="C215" s="32" t="s">
        <v>451</v>
      </c>
      <c r="D215" s="12">
        <v>3</v>
      </c>
      <c r="E215" s="12">
        <v>270</v>
      </c>
      <c r="F215" s="9">
        <f>D215*E215</f>
        <v>810</v>
      </c>
    </row>
    <row r="216" spans="1:6" ht="15.4" customHeight="1">
      <c r="A216" s="24" t="s">
        <v>452</v>
      </c>
      <c r="B216" s="7" t="s">
        <v>450</v>
      </c>
      <c r="C216" s="32" t="s">
        <v>453</v>
      </c>
      <c r="D216" s="12">
        <v>1</v>
      </c>
      <c r="E216" s="12">
        <v>66</v>
      </c>
      <c r="F216" s="9">
        <f>D216*E216</f>
        <v>66</v>
      </c>
    </row>
    <row r="217" spans="1:6" ht="15.4" customHeight="1">
      <c r="A217" s="24" t="s">
        <v>454</v>
      </c>
      <c r="B217" s="7" t="s">
        <v>450</v>
      </c>
      <c r="C217" s="32" t="s">
        <v>455</v>
      </c>
      <c r="D217" s="12">
        <v>1</v>
      </c>
      <c r="E217" s="12">
        <v>300</v>
      </c>
      <c r="F217" s="9">
        <f>D217*E217</f>
        <v>300</v>
      </c>
    </row>
    <row r="218" spans="1:6" ht="15.4" customHeight="1">
      <c r="A218" s="24" t="s">
        <v>456</v>
      </c>
      <c r="B218" s="39"/>
      <c r="C218" s="32" t="s">
        <v>457</v>
      </c>
      <c r="D218" s="12">
        <v>2</v>
      </c>
      <c r="E218" s="12">
        <v>20000</v>
      </c>
      <c r="F218" s="9">
        <f>D218*E218+21328</f>
        <v>61328</v>
      </c>
    </row>
    <row r="219" spans="1:6" ht="15.4" customHeight="1">
      <c r="A219" s="10"/>
      <c r="B219" s="7" t="s">
        <v>458</v>
      </c>
      <c r="C219" s="21" t="s">
        <v>459</v>
      </c>
      <c r="D219" s="12">
        <v>14</v>
      </c>
      <c r="E219" s="12">
        <v>210</v>
      </c>
      <c r="F219" s="9">
        <f>D219*E219-10-10-10</f>
        <v>2910</v>
      </c>
    </row>
    <row r="220" spans="1:6" ht="15.4" customHeight="1">
      <c r="A220" s="24" t="s">
        <v>458</v>
      </c>
      <c r="B220" s="39"/>
      <c r="C220" s="21" t="s">
        <v>460</v>
      </c>
      <c r="D220" s="12">
        <v>2</v>
      </c>
      <c r="E220" s="12">
        <v>1500</v>
      </c>
      <c r="F220" s="9">
        <f>D220*E220-60-10-10-10</f>
        <v>2910</v>
      </c>
    </row>
    <row r="221" spans="1:6" ht="15.4" customHeight="1">
      <c r="A221" s="16"/>
      <c r="B221" s="7" t="s">
        <v>461</v>
      </c>
      <c r="C221" s="8" t="s">
        <v>462</v>
      </c>
      <c r="D221" s="9">
        <f>380</f>
        <v>380</v>
      </c>
      <c r="E221" s="9">
        <v>400</v>
      </c>
      <c r="F221" s="9">
        <f>E221*D221</f>
        <v>152000</v>
      </c>
    </row>
    <row r="222" spans="1:6" ht="15.4" customHeight="1">
      <c r="A222" s="16"/>
      <c r="B222" s="7" t="s">
        <v>461</v>
      </c>
      <c r="C222" s="8" t="s">
        <v>463</v>
      </c>
      <c r="D222" s="9">
        <f>50+116</f>
        <v>166</v>
      </c>
      <c r="E222" s="9">
        <v>480</v>
      </c>
      <c r="F222" s="9">
        <f>E222*D222</f>
        <v>79680</v>
      </c>
    </row>
    <row r="223" spans="1:6" ht="15.4" customHeight="1">
      <c r="A223" s="16"/>
      <c r="B223" s="7" t="s">
        <v>461</v>
      </c>
      <c r="C223" s="8" t="s">
        <v>464</v>
      </c>
      <c r="D223" s="9">
        <v>1</v>
      </c>
      <c r="E223" s="9">
        <v>460</v>
      </c>
      <c r="F223" s="9">
        <f>E223*D223</f>
        <v>460</v>
      </c>
    </row>
    <row r="224" spans="1:6" ht="15.4" customHeight="1">
      <c r="A224" s="16"/>
      <c r="B224" s="7" t="s">
        <v>465</v>
      </c>
      <c r="C224" s="8" t="s">
        <v>466</v>
      </c>
      <c r="D224" s="9">
        <f>107-1</f>
        <v>106</v>
      </c>
      <c r="E224" s="9">
        <v>3300</v>
      </c>
      <c r="F224" s="9">
        <f>E224*D224-1700</f>
        <v>348100</v>
      </c>
    </row>
    <row r="225" spans="1:6" ht="15.4" customHeight="1">
      <c r="A225" s="16"/>
      <c r="B225" s="7" t="s">
        <v>467</v>
      </c>
      <c r="C225" s="8" t="s">
        <v>468</v>
      </c>
      <c r="D225" s="9">
        <v>3</v>
      </c>
      <c r="E225" s="9">
        <v>13200</v>
      </c>
      <c r="F225" s="9">
        <f>E225*D225</f>
        <v>39600</v>
      </c>
    </row>
    <row r="226" spans="1:6" ht="15.4" customHeight="1">
      <c r="A226" s="16"/>
      <c r="B226" s="7" t="s">
        <v>176</v>
      </c>
      <c r="C226" s="8" t="s">
        <v>469</v>
      </c>
      <c r="D226" s="9">
        <v>10</v>
      </c>
      <c r="E226" s="9">
        <v>5280</v>
      </c>
      <c r="F226" s="9">
        <f>E226*D226</f>
        <v>52800</v>
      </c>
    </row>
    <row r="227" spans="1:6" ht="15.4" customHeight="1">
      <c r="A227" s="16"/>
      <c r="B227" s="7" t="s">
        <v>176</v>
      </c>
      <c r="C227" s="8" t="s">
        <v>470</v>
      </c>
      <c r="D227" s="9">
        <v>24</v>
      </c>
      <c r="E227" s="9">
        <v>2160</v>
      </c>
      <c r="F227" s="9">
        <f>E227*D227</f>
        <v>51840</v>
      </c>
    </row>
    <row r="228" spans="1:6" ht="15.4" customHeight="1">
      <c r="A228" s="16"/>
      <c r="B228" s="7" t="s">
        <v>176</v>
      </c>
      <c r="C228" s="8" t="s">
        <v>471</v>
      </c>
      <c r="D228" s="9">
        <v>36</v>
      </c>
      <c r="E228" s="9">
        <v>2160</v>
      </c>
      <c r="F228" s="9">
        <f>E228*D228</f>
        <v>77760</v>
      </c>
    </row>
    <row r="229" spans="1:6" ht="30.4" customHeight="1">
      <c r="A229" s="16"/>
      <c r="B229" s="7" t="s">
        <v>176</v>
      </c>
      <c r="C229" s="8" t="s">
        <v>472</v>
      </c>
      <c r="D229" s="9">
        <v>7</v>
      </c>
      <c r="E229" s="9">
        <v>3036</v>
      </c>
      <c r="F229" s="9">
        <f>E229*D229</f>
        <v>21252</v>
      </c>
    </row>
    <row r="230" spans="1:6" ht="30.4" customHeight="1">
      <c r="A230" s="16"/>
      <c r="B230" s="7" t="s">
        <v>176</v>
      </c>
      <c r="C230" s="11" t="s">
        <v>473</v>
      </c>
      <c r="D230" s="12">
        <v>7</v>
      </c>
      <c r="E230" s="12">
        <v>4320</v>
      </c>
      <c r="F230" s="9">
        <f>D230*E230+1100</f>
        <v>31340</v>
      </c>
    </row>
    <row r="231" spans="1:6" ht="26.65" customHeight="1">
      <c r="A231" s="6" t="s">
        <v>474</v>
      </c>
      <c r="B231" s="33" t="s">
        <v>475</v>
      </c>
      <c r="C231" s="22" t="s">
        <v>476</v>
      </c>
      <c r="D231" s="19">
        <v>5</v>
      </c>
      <c r="E231" s="19">
        <v>15600</v>
      </c>
      <c r="F231" s="20">
        <f>D231*E231+12000+12000</f>
        <v>102000</v>
      </c>
    </row>
    <row r="232" spans="1:6" ht="26.65" customHeight="1">
      <c r="A232" s="6" t="s">
        <v>477</v>
      </c>
      <c r="B232" s="33" t="s">
        <v>475</v>
      </c>
      <c r="C232" s="22" t="s">
        <v>478</v>
      </c>
      <c r="D232" s="19">
        <v>7</v>
      </c>
      <c r="E232" s="19">
        <v>8580</v>
      </c>
      <c r="F232" s="20">
        <f t="shared" ref="F232:F240" si="0">D232*E232</f>
        <v>60060</v>
      </c>
    </row>
    <row r="233" spans="1:6" ht="26.65" customHeight="1">
      <c r="A233" s="6" t="s">
        <v>479</v>
      </c>
      <c r="B233" s="33" t="s">
        <v>475</v>
      </c>
      <c r="C233" s="22" t="s">
        <v>480</v>
      </c>
      <c r="D233" s="19">
        <v>7</v>
      </c>
      <c r="E233" s="19">
        <v>12000</v>
      </c>
      <c r="F233" s="20">
        <f t="shared" si="0"/>
        <v>84000</v>
      </c>
    </row>
    <row r="234" spans="1:6" ht="26.65" customHeight="1">
      <c r="A234" s="6" t="s">
        <v>481</v>
      </c>
      <c r="B234" s="33" t="s">
        <v>475</v>
      </c>
      <c r="C234" s="22" t="s">
        <v>482</v>
      </c>
      <c r="D234" s="19">
        <v>1</v>
      </c>
      <c r="E234" s="19">
        <v>10000</v>
      </c>
      <c r="F234" s="20">
        <f t="shared" si="0"/>
        <v>10000</v>
      </c>
    </row>
    <row r="235" spans="1:6" ht="26.65" customHeight="1">
      <c r="A235" s="6" t="s">
        <v>483</v>
      </c>
      <c r="B235" s="33" t="s">
        <v>475</v>
      </c>
      <c r="C235" s="22" t="s">
        <v>484</v>
      </c>
      <c r="D235" s="19">
        <v>4</v>
      </c>
      <c r="E235" s="19">
        <v>5000</v>
      </c>
      <c r="F235" s="20">
        <f t="shared" si="0"/>
        <v>20000</v>
      </c>
    </row>
    <row r="236" spans="1:6" ht="26.65" customHeight="1">
      <c r="A236" s="6" t="s">
        <v>485</v>
      </c>
      <c r="B236" s="33" t="s">
        <v>475</v>
      </c>
      <c r="C236" s="22" t="s">
        <v>486</v>
      </c>
      <c r="D236" s="19">
        <v>3</v>
      </c>
      <c r="E236" s="19">
        <v>5000</v>
      </c>
      <c r="F236" s="20">
        <f t="shared" si="0"/>
        <v>15000</v>
      </c>
    </row>
    <row r="237" spans="1:6" ht="26.65" customHeight="1">
      <c r="A237" s="6" t="s">
        <v>487</v>
      </c>
      <c r="B237" s="33" t="s">
        <v>475</v>
      </c>
      <c r="C237" s="22" t="s">
        <v>488</v>
      </c>
      <c r="D237" s="19">
        <v>8</v>
      </c>
      <c r="E237" s="19">
        <v>5000</v>
      </c>
      <c r="F237" s="20">
        <f t="shared" si="0"/>
        <v>40000</v>
      </c>
    </row>
    <row r="238" spans="1:6" ht="26.65" customHeight="1">
      <c r="A238" s="6" t="s">
        <v>489</v>
      </c>
      <c r="B238" s="33" t="s">
        <v>475</v>
      </c>
      <c r="C238" s="22" t="s">
        <v>490</v>
      </c>
      <c r="D238" s="19">
        <v>1</v>
      </c>
      <c r="E238" s="19">
        <v>1000</v>
      </c>
      <c r="F238" s="20">
        <f t="shared" si="0"/>
        <v>1000</v>
      </c>
    </row>
    <row r="239" spans="1:6" ht="26.65" customHeight="1">
      <c r="A239" s="6" t="s">
        <v>491</v>
      </c>
      <c r="B239" s="33" t="s">
        <v>475</v>
      </c>
      <c r="C239" s="22" t="s">
        <v>492</v>
      </c>
      <c r="D239" s="19">
        <v>2</v>
      </c>
      <c r="E239" s="19">
        <v>5000</v>
      </c>
      <c r="F239" s="20">
        <f t="shared" si="0"/>
        <v>10000</v>
      </c>
    </row>
    <row r="240" spans="1:6" ht="26.65" customHeight="1">
      <c r="A240" s="6" t="s">
        <v>493</v>
      </c>
      <c r="B240" s="33" t="s">
        <v>475</v>
      </c>
      <c r="C240" s="22" t="s">
        <v>494</v>
      </c>
      <c r="D240" s="19">
        <v>1</v>
      </c>
      <c r="E240" s="19">
        <v>4600</v>
      </c>
      <c r="F240" s="20">
        <f t="shared" si="0"/>
        <v>4600</v>
      </c>
    </row>
    <row r="241" spans="1:6" ht="26.65" customHeight="1">
      <c r="A241" s="6" t="s">
        <v>495</v>
      </c>
      <c r="B241" s="33" t="s">
        <v>475</v>
      </c>
      <c r="C241" s="22" t="s">
        <v>496</v>
      </c>
      <c r="D241" s="19">
        <v>3</v>
      </c>
      <c r="E241" s="19">
        <v>5000</v>
      </c>
      <c r="F241" s="20">
        <f>D241*E241+2000</f>
        <v>17000</v>
      </c>
    </row>
    <row r="242" spans="1:6" ht="26.65" customHeight="1">
      <c r="A242" s="6" t="s">
        <v>497</v>
      </c>
      <c r="B242" s="33" t="s">
        <v>475</v>
      </c>
      <c r="C242" s="22" t="s">
        <v>498</v>
      </c>
      <c r="D242" s="19">
        <v>2</v>
      </c>
      <c r="E242" s="19">
        <v>1800</v>
      </c>
      <c r="F242" s="20">
        <f>D242*E242+900</f>
        <v>4500</v>
      </c>
    </row>
    <row r="243" spans="1:6" ht="26.65" customHeight="1">
      <c r="A243" s="6" t="s">
        <v>499</v>
      </c>
      <c r="B243" s="33" t="s">
        <v>475</v>
      </c>
      <c r="C243" s="22" t="s">
        <v>500</v>
      </c>
      <c r="D243" s="19">
        <v>2</v>
      </c>
      <c r="E243" s="19">
        <v>8060</v>
      </c>
      <c r="F243" s="20">
        <f>D243*E243+6120+5640+3300</f>
        <v>31180</v>
      </c>
    </row>
    <row r="244" spans="1:6" ht="26.65" customHeight="1">
      <c r="A244" s="6" t="s">
        <v>501</v>
      </c>
      <c r="B244" s="33" t="s">
        <v>475</v>
      </c>
      <c r="C244" s="22" t="s">
        <v>502</v>
      </c>
      <c r="D244" s="19">
        <v>1</v>
      </c>
      <c r="E244" s="19">
        <v>8500</v>
      </c>
      <c r="F244" s="20">
        <f t="shared" ref="F244:F249" si="1">D244*E244</f>
        <v>8500</v>
      </c>
    </row>
    <row r="245" spans="1:6" ht="26.65" customHeight="1">
      <c r="A245" s="6" t="s">
        <v>503</v>
      </c>
      <c r="B245" s="33" t="s">
        <v>475</v>
      </c>
      <c r="C245" s="22" t="s">
        <v>504</v>
      </c>
      <c r="D245" s="19">
        <v>1</v>
      </c>
      <c r="E245" s="19">
        <v>8500</v>
      </c>
      <c r="F245" s="20">
        <f t="shared" si="1"/>
        <v>8500</v>
      </c>
    </row>
    <row r="246" spans="1:6" ht="26.65" customHeight="1">
      <c r="A246" s="6" t="s">
        <v>505</v>
      </c>
      <c r="B246" s="33" t="s">
        <v>475</v>
      </c>
      <c r="C246" s="22" t="s">
        <v>506</v>
      </c>
      <c r="D246" s="19">
        <v>17</v>
      </c>
      <c r="E246" s="19">
        <v>1250</v>
      </c>
      <c r="F246" s="20">
        <f t="shared" si="1"/>
        <v>21250</v>
      </c>
    </row>
    <row r="247" spans="1:6" ht="26.65" customHeight="1">
      <c r="A247" s="6" t="s">
        <v>507</v>
      </c>
      <c r="B247" s="33" t="s">
        <v>475</v>
      </c>
      <c r="C247" s="22" t="s">
        <v>508</v>
      </c>
      <c r="D247" s="19">
        <v>25</v>
      </c>
      <c r="E247" s="19">
        <v>5000</v>
      </c>
      <c r="F247" s="20">
        <f t="shared" si="1"/>
        <v>125000</v>
      </c>
    </row>
    <row r="248" spans="1:6" ht="26.65" customHeight="1">
      <c r="A248" s="6" t="s">
        <v>509</v>
      </c>
      <c r="B248" s="33" t="s">
        <v>475</v>
      </c>
      <c r="C248" s="22" t="s">
        <v>510</v>
      </c>
      <c r="D248" s="19">
        <v>1</v>
      </c>
      <c r="E248" s="19">
        <v>7000</v>
      </c>
      <c r="F248" s="20">
        <f t="shared" si="1"/>
        <v>7000</v>
      </c>
    </row>
    <row r="249" spans="1:6" ht="26.65" customHeight="1">
      <c r="A249" s="6" t="s">
        <v>511</v>
      </c>
      <c r="B249" s="33" t="s">
        <v>475</v>
      </c>
      <c r="C249" s="22" t="s">
        <v>512</v>
      </c>
      <c r="D249" s="19">
        <v>1</v>
      </c>
      <c r="E249" s="19">
        <v>600</v>
      </c>
      <c r="F249" s="20">
        <f t="shared" si="1"/>
        <v>600</v>
      </c>
    </row>
    <row r="250" spans="1:6" ht="26.65" customHeight="1">
      <c r="A250" s="6" t="s">
        <v>513</v>
      </c>
      <c r="B250" s="33" t="s">
        <v>475</v>
      </c>
      <c r="C250" s="22" t="s">
        <v>514</v>
      </c>
      <c r="D250" s="19">
        <v>1</v>
      </c>
      <c r="E250" s="19">
        <v>2900</v>
      </c>
      <c r="F250" s="20">
        <f>D250*E250+60</f>
        <v>2960</v>
      </c>
    </row>
    <row r="251" spans="1:6" ht="26.65" customHeight="1">
      <c r="A251" s="6" t="s">
        <v>515</v>
      </c>
      <c r="B251" s="33" t="s">
        <v>475</v>
      </c>
      <c r="C251" s="22" t="s">
        <v>516</v>
      </c>
      <c r="D251" s="19">
        <v>1</v>
      </c>
      <c r="E251" s="19">
        <v>500</v>
      </c>
      <c r="F251" s="20">
        <f>D251*E251+300+150</f>
        <v>950</v>
      </c>
    </row>
    <row r="252" spans="1:6" ht="26.65" customHeight="1">
      <c r="A252" s="6" t="s">
        <v>517</v>
      </c>
      <c r="B252" s="33" t="s">
        <v>475</v>
      </c>
      <c r="C252" s="22" t="s">
        <v>518</v>
      </c>
      <c r="D252" s="19">
        <v>1</v>
      </c>
      <c r="E252" s="19">
        <v>500</v>
      </c>
      <c r="F252" s="20">
        <f>D252*E252+600</f>
        <v>1100</v>
      </c>
    </row>
    <row r="253" spans="1:6" ht="26.65" customHeight="1">
      <c r="A253" s="6" t="s">
        <v>519</v>
      </c>
      <c r="B253" s="33" t="s">
        <v>475</v>
      </c>
      <c r="C253" s="22" t="s">
        <v>520</v>
      </c>
      <c r="D253" s="19">
        <v>1</v>
      </c>
      <c r="E253" s="19">
        <v>5600</v>
      </c>
      <c r="F253" s="20">
        <f>D253*E253+4800</f>
        <v>10400</v>
      </c>
    </row>
    <row r="254" spans="1:6" ht="26.65" customHeight="1">
      <c r="A254" s="6" t="s">
        <v>521</v>
      </c>
      <c r="B254" s="33" t="s">
        <v>475</v>
      </c>
      <c r="C254" s="22" t="s">
        <v>522</v>
      </c>
      <c r="D254" s="19">
        <v>1</v>
      </c>
      <c r="E254" s="19">
        <v>3100</v>
      </c>
      <c r="F254" s="20">
        <f>D254*E254+700</f>
        <v>3800</v>
      </c>
    </row>
    <row r="255" spans="1:6" ht="26.65" customHeight="1">
      <c r="A255" s="6" t="s">
        <v>523</v>
      </c>
      <c r="B255" s="33" t="s">
        <v>475</v>
      </c>
      <c r="C255" s="22" t="s">
        <v>524</v>
      </c>
      <c r="D255" s="19">
        <v>1</v>
      </c>
      <c r="E255" s="19">
        <v>2400</v>
      </c>
      <c r="F255" s="20">
        <f>D255*E255+1000</f>
        <v>3400</v>
      </c>
    </row>
    <row r="256" spans="1:6" ht="26.65" customHeight="1">
      <c r="A256" s="6" t="s">
        <v>525</v>
      </c>
      <c r="B256" s="33" t="s">
        <v>475</v>
      </c>
      <c r="C256" s="22" t="s">
        <v>526</v>
      </c>
      <c r="D256" s="19">
        <v>1</v>
      </c>
      <c r="E256" s="19">
        <v>1800</v>
      </c>
      <c r="F256" s="20">
        <f>D256*E256+1000</f>
        <v>2800</v>
      </c>
    </row>
    <row r="257" spans="1:6" ht="26.65" customHeight="1">
      <c r="A257" s="6" t="s">
        <v>527</v>
      </c>
      <c r="B257" s="33" t="s">
        <v>475</v>
      </c>
      <c r="C257" s="22" t="s">
        <v>528</v>
      </c>
      <c r="D257" s="19">
        <v>1</v>
      </c>
      <c r="E257" s="19">
        <v>2700</v>
      </c>
      <c r="F257" s="20">
        <f>D257*E257</f>
        <v>2700</v>
      </c>
    </row>
    <row r="258" spans="1:6" ht="26.65" customHeight="1">
      <c r="A258" s="6" t="s">
        <v>529</v>
      </c>
      <c r="B258" s="33" t="s">
        <v>475</v>
      </c>
      <c r="C258" s="22" t="s">
        <v>530</v>
      </c>
      <c r="D258" s="19">
        <v>1</v>
      </c>
      <c r="E258" s="19">
        <v>400</v>
      </c>
      <c r="F258" s="20">
        <f>D258*E258</f>
        <v>400</v>
      </c>
    </row>
    <row r="259" spans="1:6" ht="26.65" customHeight="1">
      <c r="A259" s="6" t="s">
        <v>531</v>
      </c>
      <c r="B259" s="33" t="s">
        <v>475</v>
      </c>
      <c r="C259" s="22" t="s">
        <v>532</v>
      </c>
      <c r="D259" s="19">
        <v>14</v>
      </c>
      <c r="E259" s="19">
        <v>2200</v>
      </c>
      <c r="F259" s="20">
        <f>D259*E259</f>
        <v>30800</v>
      </c>
    </row>
    <row r="260" spans="1:6" ht="26.65" customHeight="1">
      <c r="A260" s="6" t="s">
        <v>533</v>
      </c>
      <c r="B260" s="33" t="s">
        <v>475</v>
      </c>
      <c r="C260" s="22" t="s">
        <v>534</v>
      </c>
      <c r="D260" s="19">
        <v>1</v>
      </c>
      <c r="E260" s="19">
        <v>12500</v>
      </c>
      <c r="F260" s="20">
        <f>D260*E260</f>
        <v>12500</v>
      </c>
    </row>
    <row r="261" spans="1:6" ht="30.4" customHeight="1">
      <c r="A261" s="24" t="s">
        <v>535</v>
      </c>
      <c r="B261" s="33" t="s">
        <v>475</v>
      </c>
      <c r="C261" s="22" t="s">
        <v>536</v>
      </c>
      <c r="D261" s="12">
        <v>7</v>
      </c>
      <c r="E261" s="12">
        <v>1250</v>
      </c>
      <c r="F261" s="9">
        <f>D261*E261+425</f>
        <v>9175</v>
      </c>
    </row>
    <row r="262" spans="1:6" ht="30.4" customHeight="1">
      <c r="A262" s="10"/>
      <c r="B262" s="33" t="s">
        <v>475</v>
      </c>
      <c r="C262" s="22" t="s">
        <v>537</v>
      </c>
      <c r="D262" s="12">
        <v>1</v>
      </c>
      <c r="E262" s="12">
        <v>1250</v>
      </c>
      <c r="F262" s="9">
        <f>D262*E262</f>
        <v>1250</v>
      </c>
    </row>
    <row r="263" spans="1:6" ht="30.4" customHeight="1">
      <c r="A263" s="10"/>
      <c r="B263" s="40"/>
      <c r="C263" s="17" t="s">
        <v>538</v>
      </c>
      <c r="D263" s="12">
        <f>429-8-6-12-1-12-3-6-8</f>
        <v>373</v>
      </c>
      <c r="E263" s="12">
        <v>128</v>
      </c>
      <c r="F263" s="9">
        <f>D263*E263+23-67</f>
        <v>47700</v>
      </c>
    </row>
    <row r="264" spans="1:6" ht="15.4" customHeight="1">
      <c r="A264" s="10"/>
      <c r="B264" s="40"/>
      <c r="C264" s="17" t="s">
        <v>539</v>
      </c>
      <c r="D264" s="12">
        <v>51</v>
      </c>
      <c r="E264" s="12">
        <v>140</v>
      </c>
      <c r="F264" s="9">
        <f>D264*E264+118</f>
        <v>7258</v>
      </c>
    </row>
    <row r="265" spans="1:6" ht="15.4" customHeight="1">
      <c r="A265" s="10"/>
      <c r="B265" s="40"/>
      <c r="C265" s="17" t="s">
        <v>540</v>
      </c>
      <c r="D265" s="12">
        <v>10</v>
      </c>
      <c r="E265" s="12">
        <v>200</v>
      </c>
      <c r="F265" s="9">
        <f>D265*E265+181</f>
        <v>2181</v>
      </c>
    </row>
    <row r="266" spans="1:6" ht="30.4" customHeight="1">
      <c r="A266" s="41"/>
      <c r="B266" s="42"/>
      <c r="C266" s="17" t="s">
        <v>541</v>
      </c>
      <c r="D266" s="12">
        <f>13-1-1-1</f>
        <v>10</v>
      </c>
      <c r="E266" s="12">
        <v>2500</v>
      </c>
      <c r="F266" s="9">
        <f>D266*E266</f>
        <v>25000</v>
      </c>
    </row>
    <row r="267" spans="1:6" ht="15.4" customHeight="1">
      <c r="A267" s="41"/>
      <c r="B267" s="42"/>
      <c r="C267" s="17" t="s">
        <v>542</v>
      </c>
      <c r="D267" s="12">
        <v>1</v>
      </c>
      <c r="E267" s="12">
        <v>5500</v>
      </c>
      <c r="F267" s="9">
        <f>D267*E267</f>
        <v>5500</v>
      </c>
    </row>
    <row r="268" spans="1:6" ht="15.4" customHeight="1">
      <c r="F268" s="1">
        <f>SUM(F3:F267)</f>
        <v>6728303</v>
      </c>
    </row>
  </sheetData>
  <mergeCells count="1">
    <mergeCell ref="A1:J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ADRIAN MERCADO - INSUMOS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Fabian Rodriguez</cp:lastModifiedBy>
  <dcterms:modified xsi:type="dcterms:W3CDTF">2022-05-30T14:04:59Z</dcterms:modified>
</cp:coreProperties>
</file>